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2\ФІНПЛАНИ\ЗВІТ ЗА 6 місяців 2022\"/>
    </mc:Choice>
  </mc:AlternateContent>
  <bookViews>
    <workbookView xWindow="0" yWindow="0" windowWidth="28800" windowHeight="12300" tabRatio="838" activeTab="4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Формування'!$A$1:$H$121</definedName>
    <definedName name="_xlnm.Print_Area" localSheetId="2">'Розшифровка 2 до формування'!$A$1:$H$336</definedName>
    <definedName name="_xlnm.Print_Area" localSheetId="4">'Розшифровка за джерелами'!$A$1:$P$33</definedName>
    <definedName name="_xlnm.Print_Area" localSheetId="3">'Розшифровка кап'!$A$1:$G$79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26" i="9" l="1"/>
  <c r="P25" i="9"/>
  <c r="O25" i="9"/>
  <c r="P24" i="9"/>
  <c r="O24" i="9"/>
  <c r="P23" i="9"/>
  <c r="O23" i="9"/>
  <c r="P22" i="9"/>
  <c r="O22" i="9"/>
  <c r="P20" i="9"/>
  <c r="O20" i="9"/>
  <c r="P19" i="9"/>
  <c r="O19" i="9"/>
  <c r="P18" i="9"/>
  <c r="O18" i="9"/>
  <c r="P17" i="9"/>
  <c r="O17" i="9"/>
  <c r="P15" i="9"/>
  <c r="O15" i="9"/>
  <c r="P14" i="9"/>
  <c r="O14" i="9"/>
  <c r="P13" i="9"/>
  <c r="O13" i="9"/>
  <c r="P12" i="9"/>
  <c r="O12" i="9"/>
  <c r="P10" i="9"/>
  <c r="O10" i="9"/>
  <c r="P9" i="9"/>
  <c r="O9" i="9"/>
  <c r="P8" i="9"/>
  <c r="O8" i="9"/>
  <c r="J27" i="9" l="1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F53" i="14"/>
  <c r="D84" i="14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1" i="22"/>
  <c r="G101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1" i="22"/>
  <c r="G81" i="22"/>
  <c r="H80" i="22"/>
  <c r="G80" i="22"/>
  <c r="H79" i="22"/>
  <c r="G79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5" i="22"/>
  <c r="G55" i="22"/>
  <c r="H54" i="22"/>
  <c r="G54" i="22"/>
  <c r="H53" i="22"/>
  <c r="G53" i="22"/>
  <c r="H52" i="22"/>
  <c r="G52" i="22"/>
  <c r="H51" i="22"/>
  <c r="G51" i="22"/>
  <c r="H50" i="22"/>
  <c r="G50" i="22"/>
  <c r="H49" i="22"/>
  <c r="G49" i="22"/>
  <c r="H47" i="22"/>
  <c r="G47" i="22"/>
  <c r="H46" i="22"/>
  <c r="G46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40" i="26" l="1"/>
  <c r="G40" i="26"/>
  <c r="H49" i="26"/>
  <c r="G49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N14" i="26"/>
  <c r="N10" i="26"/>
  <c r="N9" i="26"/>
  <c r="E6" i="26"/>
  <c r="D6" i="26"/>
  <c r="F6" i="26"/>
  <c r="F70" i="26"/>
  <c r="F68" i="26"/>
  <c r="F67" i="26"/>
  <c r="F66" i="26"/>
  <c r="F65" i="26"/>
  <c r="F58" i="26"/>
  <c r="F56" i="26"/>
  <c r="F52" i="26"/>
  <c r="F51" i="26" s="1"/>
  <c r="F49" i="26" s="1"/>
  <c r="F265" i="26" l="1"/>
  <c r="F263" i="26"/>
  <c r="F20" i="22"/>
  <c r="F43" i="26"/>
  <c r="H30" i="22"/>
  <c r="G30" i="22"/>
  <c r="H29" i="22"/>
  <c r="G29" i="22"/>
  <c r="H28" i="22"/>
  <c r="G28" i="22"/>
  <c r="H27" i="22"/>
  <c r="G27" i="22"/>
  <c r="H26" i="22"/>
  <c r="G26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0" i="22"/>
  <c r="G10" i="22"/>
  <c r="H9" i="22"/>
  <c r="G9" i="22"/>
  <c r="H8" i="22"/>
  <c r="G8" i="22"/>
  <c r="F208" i="26"/>
  <c r="F207" i="26" s="1"/>
  <c r="F205" i="26" s="1"/>
  <c r="D43" i="26"/>
  <c r="D42" i="26" s="1"/>
  <c r="G43" i="26"/>
  <c r="H43" i="26"/>
  <c r="G44" i="26"/>
  <c r="H44" i="26"/>
  <c r="G45" i="26"/>
  <c r="H45" i="26"/>
  <c r="G46" i="26"/>
  <c r="H46" i="26"/>
  <c r="H332" i="26" l="1"/>
  <c r="G332" i="26"/>
  <c r="H330" i="26"/>
  <c r="G330" i="26"/>
  <c r="H327" i="26"/>
  <c r="G327" i="26"/>
  <c r="H325" i="26"/>
  <c r="G325" i="26"/>
  <c r="H324" i="26"/>
  <c r="G324" i="26"/>
  <c r="H323" i="26"/>
  <c r="G323" i="26"/>
  <c r="H321" i="26"/>
  <c r="G321" i="26"/>
  <c r="H320" i="26"/>
  <c r="G320" i="26"/>
  <c r="H317" i="26"/>
  <c r="G317" i="26"/>
  <c r="H315" i="26"/>
  <c r="G315" i="26"/>
  <c r="H314" i="26"/>
  <c r="G314" i="26"/>
  <c r="H312" i="26"/>
  <c r="G312" i="26"/>
  <c r="H308" i="26"/>
  <c r="G308" i="26"/>
  <c r="H307" i="26"/>
  <c r="G307" i="26"/>
  <c r="H305" i="26"/>
  <c r="G305" i="26"/>
  <c r="H301" i="26"/>
  <c r="G301" i="26"/>
  <c r="H300" i="26"/>
  <c r="G300" i="26"/>
  <c r="H299" i="26"/>
  <c r="G299" i="26"/>
  <c r="H298" i="26"/>
  <c r="G298" i="26"/>
  <c r="H297" i="26"/>
  <c r="G297" i="26"/>
  <c r="H296" i="26"/>
  <c r="G296" i="26"/>
  <c r="H295" i="26"/>
  <c r="G295" i="26"/>
  <c r="H294" i="26"/>
  <c r="G294" i="26"/>
  <c r="H293" i="26"/>
  <c r="G293" i="26"/>
  <c r="H292" i="26"/>
  <c r="G292" i="26"/>
  <c r="H290" i="26"/>
  <c r="G290" i="26"/>
  <c r="H288" i="26"/>
  <c r="G288" i="26"/>
  <c r="H281" i="26"/>
  <c r="G281" i="26"/>
  <c r="H279" i="26"/>
  <c r="G279" i="26"/>
  <c r="H278" i="26"/>
  <c r="G278" i="26"/>
  <c r="H277" i="26"/>
  <c r="G277" i="26"/>
  <c r="H276" i="26"/>
  <c r="G276" i="26"/>
  <c r="H275" i="26"/>
  <c r="G275" i="26"/>
  <c r="H274" i="26"/>
  <c r="G274" i="26"/>
  <c r="H273" i="26"/>
  <c r="G273" i="26"/>
  <c r="H271" i="26"/>
  <c r="G271" i="26"/>
  <c r="H270" i="26"/>
  <c r="G270" i="26"/>
  <c r="H269" i="26"/>
  <c r="G269" i="26"/>
  <c r="H267" i="26"/>
  <c r="G267" i="26"/>
  <c r="H266" i="26"/>
  <c r="G266" i="26"/>
  <c r="H265" i="26"/>
  <c r="G265" i="26"/>
  <c r="H264" i="26"/>
  <c r="G264" i="26"/>
  <c r="H258" i="26"/>
  <c r="G258" i="26"/>
  <c r="H255" i="26"/>
  <c r="G255" i="26"/>
  <c r="H247" i="26"/>
  <c r="G247" i="26"/>
  <c r="H245" i="26"/>
  <c r="G245" i="26"/>
  <c r="H244" i="26"/>
  <c r="G244" i="26"/>
  <c r="H243" i="26"/>
  <c r="G243" i="26"/>
  <c r="H242" i="26"/>
  <c r="G242" i="26"/>
  <c r="H241" i="26"/>
  <c r="G241" i="26"/>
  <c r="H238" i="26"/>
  <c r="G238" i="26"/>
  <c r="H237" i="26"/>
  <c r="G237" i="26"/>
  <c r="H236" i="26"/>
  <c r="G236" i="26"/>
  <c r="H233" i="26"/>
  <c r="G233" i="26"/>
  <c r="H224" i="26"/>
  <c r="G224" i="26"/>
  <c r="H223" i="26"/>
  <c r="G223" i="26"/>
  <c r="H222" i="26"/>
  <c r="G222" i="26"/>
  <c r="H219" i="26"/>
  <c r="G219" i="26"/>
  <c r="H214" i="26"/>
  <c r="G214" i="26"/>
  <c r="H213" i="26"/>
  <c r="G213" i="26"/>
  <c r="H212" i="26"/>
  <c r="G212" i="26"/>
  <c r="H211" i="26"/>
  <c r="G211" i="26"/>
  <c r="H210" i="26"/>
  <c r="G210" i="26"/>
  <c r="H209" i="26"/>
  <c r="G209" i="26"/>
  <c r="H208" i="26"/>
  <c r="G208" i="26"/>
  <c r="H207" i="26"/>
  <c r="G207" i="26"/>
  <c r="H204" i="26"/>
  <c r="G204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7" i="26"/>
  <c r="G187" i="26"/>
  <c r="H186" i="26"/>
  <c r="G186" i="26"/>
  <c r="H185" i="26"/>
  <c r="G185" i="26"/>
  <c r="H180" i="26"/>
  <c r="G180" i="26"/>
  <c r="H179" i="26"/>
  <c r="G179" i="26"/>
  <c r="H175" i="26"/>
  <c r="G175" i="26"/>
  <c r="H174" i="26"/>
  <c r="G174" i="26"/>
  <c r="H173" i="26"/>
  <c r="G173" i="26"/>
  <c r="H167" i="26"/>
  <c r="G167" i="26"/>
  <c r="H166" i="26"/>
  <c r="G166" i="26"/>
  <c r="H165" i="26"/>
  <c r="G165" i="26"/>
  <c r="H162" i="26"/>
  <c r="G162" i="26"/>
  <c r="H161" i="26"/>
  <c r="G161" i="26"/>
  <c r="H160" i="26"/>
  <c r="G160" i="26"/>
  <c r="H159" i="26"/>
  <c r="G159" i="26"/>
  <c r="H158" i="26"/>
  <c r="G158" i="26"/>
  <c r="H157" i="26"/>
  <c r="G157" i="26"/>
  <c r="H156" i="26"/>
  <c r="G156" i="26"/>
  <c r="H153" i="26"/>
  <c r="G153" i="26"/>
  <c r="H152" i="26"/>
  <c r="G152" i="26"/>
  <c r="H151" i="26"/>
  <c r="G151" i="26"/>
  <c r="H150" i="26"/>
  <c r="G150" i="26"/>
  <c r="H149" i="26"/>
  <c r="G149" i="26"/>
  <c r="H141" i="26"/>
  <c r="G141" i="26"/>
  <c r="H140" i="26"/>
  <c r="G140" i="26"/>
  <c r="H139" i="26"/>
  <c r="G139" i="26"/>
  <c r="H138" i="26"/>
  <c r="G138" i="26"/>
  <c r="H137" i="26"/>
  <c r="G137" i="26"/>
  <c r="H135" i="26"/>
  <c r="G135" i="26"/>
  <c r="H134" i="26"/>
  <c r="G134" i="26"/>
  <c r="H133" i="26"/>
  <c r="G133" i="26"/>
  <c r="H132" i="26"/>
  <c r="G132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19" i="26"/>
  <c r="G119" i="26"/>
  <c r="H106" i="26"/>
  <c r="G106" i="26"/>
  <c r="H113" i="26"/>
  <c r="G113" i="26"/>
  <c r="H112" i="26"/>
  <c r="G112" i="26"/>
  <c r="H111" i="26"/>
  <c r="G111" i="26"/>
  <c r="H110" i="26"/>
  <c r="G110" i="26"/>
  <c r="H109" i="26"/>
  <c r="G109" i="26"/>
  <c r="H102" i="26"/>
  <c r="G102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0" i="26"/>
  <c r="G90" i="26"/>
  <c r="H89" i="26"/>
  <c r="G89" i="26"/>
  <c r="H88" i="26"/>
  <c r="G88" i="26"/>
  <c r="H87" i="26"/>
  <c r="G87" i="26"/>
  <c r="H84" i="26"/>
  <c r="G84" i="26"/>
  <c r="H83" i="26"/>
  <c r="G83" i="26"/>
  <c r="H81" i="26"/>
  <c r="G81" i="26"/>
  <c r="H80" i="26"/>
  <c r="G80" i="26"/>
  <c r="H77" i="26"/>
  <c r="G77" i="26"/>
  <c r="H76" i="26"/>
  <c r="G76" i="26"/>
  <c r="H73" i="26"/>
  <c r="G73" i="26"/>
  <c r="H69" i="26"/>
  <c r="G69" i="26"/>
  <c r="H36" i="26"/>
  <c r="G36" i="26"/>
  <c r="H35" i="26"/>
  <c r="G35" i="26"/>
  <c r="H34" i="26"/>
  <c r="G34" i="26"/>
  <c r="M26" i="26"/>
  <c r="M25" i="26"/>
  <c r="N20" i="26"/>
  <c r="M20" i="26"/>
  <c r="M19" i="26"/>
  <c r="M18" i="26"/>
  <c r="L26" i="26"/>
  <c r="L25" i="26"/>
  <c r="L20" i="26"/>
  <c r="L19" i="26"/>
  <c r="L18" i="26"/>
  <c r="M12" i="26"/>
  <c r="M11" i="26"/>
  <c r="L12" i="26"/>
  <c r="L11" i="26"/>
  <c r="H29" i="26"/>
  <c r="G29" i="26"/>
  <c r="H28" i="26"/>
  <c r="G28" i="26"/>
  <c r="H27" i="26"/>
  <c r="G27" i="26"/>
  <c r="H26" i="26"/>
  <c r="G26" i="26"/>
  <c r="H24" i="26"/>
  <c r="G24" i="26"/>
  <c r="H22" i="26"/>
  <c r="G22" i="26"/>
  <c r="H20" i="26"/>
  <c r="G20" i="26"/>
  <c r="H18" i="26"/>
  <c r="G18" i="26"/>
  <c r="H15" i="26"/>
  <c r="G15" i="26"/>
  <c r="H13" i="26"/>
  <c r="G13" i="26"/>
  <c r="L31" i="26" l="1"/>
  <c r="M31" i="26"/>
  <c r="M32" i="26"/>
  <c r="L32" i="26"/>
  <c r="F32" i="26"/>
  <c r="F31" i="26"/>
  <c r="F17" i="26"/>
  <c r="F16" i="26"/>
  <c r="G16" i="26" l="1"/>
  <c r="H16" i="26"/>
  <c r="G17" i="26"/>
  <c r="H17" i="26"/>
  <c r="G31" i="26"/>
  <c r="N18" i="26"/>
  <c r="H31" i="26"/>
  <c r="H32" i="26"/>
  <c r="G32" i="26"/>
  <c r="N19" i="26"/>
  <c r="E96" i="14"/>
  <c r="E95" i="14"/>
  <c r="E94" i="14"/>
  <c r="E91" i="14"/>
  <c r="E92" i="14"/>
  <c r="E90" i="14"/>
  <c r="D91" i="14"/>
  <c r="D95" i="14" s="1"/>
  <c r="F95" i="14" s="1"/>
  <c r="D92" i="14"/>
  <c r="D96" i="14" s="1"/>
  <c r="F96" i="14" s="1"/>
  <c r="D90" i="14"/>
  <c r="D94" i="14" s="1"/>
  <c r="F94" i="14" s="1"/>
  <c r="F91" i="14" l="1"/>
  <c r="F92" i="14"/>
  <c r="F90" i="14"/>
  <c r="F87" i="14"/>
  <c r="F88" i="14"/>
  <c r="F86" i="14"/>
  <c r="F83" i="14"/>
  <c r="F84" i="14"/>
  <c r="F82" i="14"/>
  <c r="D85" i="14"/>
  <c r="C96" i="14"/>
  <c r="C95" i="14"/>
  <c r="C91" i="14"/>
  <c r="C92" i="14"/>
  <c r="C90" i="14"/>
  <c r="C94" i="14" s="1"/>
  <c r="F76" i="14" l="1"/>
  <c r="F73" i="14"/>
  <c r="F72" i="14"/>
  <c r="F67" i="14"/>
  <c r="E55" i="14"/>
  <c r="D55" i="14"/>
  <c r="F55" i="14" s="1"/>
  <c r="F46" i="14"/>
  <c r="F47" i="14"/>
  <c r="F48" i="14"/>
  <c r="F49" i="14"/>
  <c r="F45" i="14"/>
  <c r="C22" i="14"/>
  <c r="F231" i="26" l="1"/>
  <c r="F230" i="26"/>
  <c r="F229" i="26"/>
  <c r="F235" i="26"/>
  <c r="F82" i="26"/>
  <c r="F319" i="26"/>
  <c r="F318" i="26" l="1"/>
  <c r="H319" i="26"/>
  <c r="G319" i="26"/>
  <c r="F234" i="26"/>
  <c r="H235" i="26"/>
  <c r="G235" i="26"/>
  <c r="H229" i="26"/>
  <c r="G229" i="26"/>
  <c r="H230" i="26"/>
  <c r="G230" i="26"/>
  <c r="G231" i="26"/>
  <c r="H231" i="26"/>
  <c r="H82" i="26"/>
  <c r="G82" i="26"/>
  <c r="F146" i="26"/>
  <c r="F147" i="26"/>
  <c r="G147" i="26" l="1"/>
  <c r="H147" i="26"/>
  <c r="F232" i="26"/>
  <c r="H234" i="26"/>
  <c r="G234" i="26"/>
  <c r="H146" i="26"/>
  <c r="G146" i="26"/>
  <c r="F316" i="26"/>
  <c r="H318" i="26"/>
  <c r="G318" i="26"/>
  <c r="H70" i="26"/>
  <c r="G70" i="26"/>
  <c r="G68" i="26"/>
  <c r="H68" i="26"/>
  <c r="F85" i="26"/>
  <c r="F48" i="26"/>
  <c r="F47" i="26"/>
  <c r="F42" i="26" s="1"/>
  <c r="L16" i="9"/>
  <c r="L7" i="9"/>
  <c r="N15" i="9"/>
  <c r="N14" i="9"/>
  <c r="N13" i="9"/>
  <c r="N12" i="9"/>
  <c r="E6" i="24"/>
  <c r="E28" i="24"/>
  <c r="H232" i="26" l="1"/>
  <c r="G232" i="26"/>
  <c r="H316" i="26"/>
  <c r="G316" i="26"/>
  <c r="G48" i="26"/>
  <c r="H48" i="26"/>
  <c r="H85" i="26"/>
  <c r="G85" i="26"/>
  <c r="H47" i="26"/>
  <c r="G47" i="26"/>
  <c r="H11" i="22"/>
  <c r="F78" i="22" l="1"/>
  <c r="F48" i="22"/>
  <c r="F12" i="22" l="1"/>
  <c r="F28" i="22"/>
  <c r="N17" i="9"/>
  <c r="N18" i="9"/>
  <c r="N19" i="9"/>
  <c r="N20" i="9"/>
  <c r="N8" i="9"/>
  <c r="N9" i="9"/>
  <c r="N10" i="9"/>
  <c r="N7" i="9"/>
  <c r="C28" i="24" l="1"/>
  <c r="C6" i="24"/>
  <c r="F25" i="26" l="1"/>
  <c r="H25" i="26" l="1"/>
  <c r="G25" i="26"/>
  <c r="F33" i="26"/>
  <c r="F164" i="26" l="1"/>
  <c r="F313" i="26"/>
  <c r="F310" i="26"/>
  <c r="F197" i="26"/>
  <c r="G197" i="26" l="1"/>
  <c r="H197" i="26"/>
  <c r="H310" i="26"/>
  <c r="G310" i="26"/>
  <c r="H313" i="26"/>
  <c r="G313" i="26"/>
  <c r="F163" i="26"/>
  <c r="F101" i="26"/>
  <c r="F103" i="26"/>
  <c r="F114" i="26"/>
  <c r="F108" i="26"/>
  <c r="F105" i="26"/>
  <c r="F107" i="26"/>
  <c r="F78" i="26"/>
  <c r="F75" i="26"/>
  <c r="F86" i="26"/>
  <c r="F92" i="26"/>
  <c r="F91" i="26"/>
  <c r="F64" i="26"/>
  <c r="F72" i="26"/>
  <c r="F71" i="26"/>
  <c r="F311" i="26"/>
  <c r="F309" i="26"/>
  <c r="F304" i="26"/>
  <c r="F291" i="26"/>
  <c r="H304" i="26" l="1"/>
  <c r="G304" i="26"/>
  <c r="H309" i="26"/>
  <c r="G309" i="26"/>
  <c r="G311" i="26"/>
  <c r="H311" i="26"/>
  <c r="H91" i="26"/>
  <c r="G91" i="26"/>
  <c r="H92" i="26"/>
  <c r="G92" i="26"/>
  <c r="H71" i="26"/>
  <c r="G71" i="26"/>
  <c r="N11" i="26"/>
  <c r="H86" i="26"/>
  <c r="G86" i="26"/>
  <c r="G72" i="26"/>
  <c r="H72" i="26"/>
  <c r="N12" i="26"/>
  <c r="G75" i="26"/>
  <c r="H75" i="26"/>
  <c r="H65" i="26"/>
  <c r="G65" i="26"/>
  <c r="G78" i="26"/>
  <c r="H78" i="26"/>
  <c r="G66" i="26"/>
  <c r="H66" i="26"/>
  <c r="H67" i="26"/>
  <c r="G67" i="26"/>
  <c r="H101" i="26"/>
  <c r="G101" i="26"/>
  <c r="F100" i="26"/>
  <c r="F284" i="26"/>
  <c r="F287" i="26"/>
  <c r="F289" i="26"/>
  <c r="F286" i="26"/>
  <c r="F285" i="26"/>
  <c r="F272" i="26"/>
  <c r="F203" i="26"/>
  <c r="F202" i="26"/>
  <c r="F201" i="26"/>
  <c r="F184" i="26"/>
  <c r="F198" i="26"/>
  <c r="F196" i="26"/>
  <c r="F195" i="26"/>
  <c r="F39" i="26"/>
  <c r="F38" i="26"/>
  <c r="F14" i="26"/>
  <c r="F262" i="26" l="1"/>
  <c r="G263" i="26"/>
  <c r="H263" i="26"/>
  <c r="H198" i="26"/>
  <c r="G198" i="26"/>
  <c r="H285" i="26"/>
  <c r="G285" i="26"/>
  <c r="H196" i="26"/>
  <c r="G196" i="26"/>
  <c r="F268" i="26"/>
  <c r="G272" i="26"/>
  <c r="H272" i="26"/>
  <c r="H286" i="26"/>
  <c r="G286" i="26"/>
  <c r="H289" i="26"/>
  <c r="G289" i="26"/>
  <c r="G284" i="26"/>
  <c r="H284" i="26"/>
  <c r="H201" i="26"/>
  <c r="G201" i="26"/>
  <c r="H172" i="26"/>
  <c r="G172" i="26"/>
  <c r="H202" i="26"/>
  <c r="G202" i="26"/>
  <c r="H195" i="26"/>
  <c r="G195" i="26"/>
  <c r="G203" i="26"/>
  <c r="H203" i="26"/>
  <c r="G287" i="26"/>
  <c r="H287" i="26"/>
  <c r="N25" i="26"/>
  <c r="H38" i="26"/>
  <c r="G38" i="26"/>
  <c r="N26" i="26"/>
  <c r="N32" i="26" s="1"/>
  <c r="G39" i="26"/>
  <c r="H39" i="26"/>
  <c r="H14" i="26"/>
  <c r="G14" i="26"/>
  <c r="N31" i="26"/>
  <c r="F23" i="26"/>
  <c r="F21" i="26"/>
  <c r="F12" i="26"/>
  <c r="F11" i="26"/>
  <c r="H268" i="26" l="1"/>
  <c r="G268" i="26"/>
  <c r="H21" i="26"/>
  <c r="G21" i="26"/>
  <c r="H11" i="26"/>
  <c r="G11" i="26"/>
  <c r="H12" i="26"/>
  <c r="G12" i="26"/>
  <c r="H23" i="26"/>
  <c r="G23" i="26"/>
  <c r="F10" i="26"/>
  <c r="D274" i="26"/>
  <c r="D273" i="26" s="1"/>
  <c r="D242" i="26"/>
  <c r="D241" i="26" s="1"/>
  <c r="D239" i="26" s="1"/>
  <c r="D223" i="26"/>
  <c r="D222" i="26" s="1"/>
  <c r="D220" i="26" s="1"/>
  <c r="D208" i="26"/>
  <c r="D207" i="26" s="1"/>
  <c r="D205" i="26" s="1"/>
  <c r="D178" i="26"/>
  <c r="D176" i="26" s="1"/>
  <c r="D164" i="26"/>
  <c r="D163" i="26" s="1"/>
  <c r="D155" i="26"/>
  <c r="D154" i="26" s="1"/>
  <c r="D145" i="26"/>
  <c r="D148" i="26"/>
  <c r="D140" i="26"/>
  <c r="D139" i="26" s="1"/>
  <c r="D123" i="26"/>
  <c r="D116" i="26"/>
  <c r="D74" i="26"/>
  <c r="D40" i="26"/>
  <c r="E42" i="26"/>
  <c r="E40" i="26" s="1"/>
  <c r="D144" i="26" l="1"/>
  <c r="D142" i="26"/>
  <c r="D78" i="22"/>
  <c r="D48" i="22"/>
  <c r="E82" i="22"/>
  <c r="E48" i="22"/>
  <c r="E155" i="26"/>
  <c r="H155" i="26" l="1"/>
  <c r="G155" i="26"/>
  <c r="D331" i="26"/>
  <c r="C85" i="14" l="1"/>
  <c r="E89" i="14"/>
  <c r="D89" i="14"/>
  <c r="C89" i="14"/>
  <c r="F66" i="14"/>
  <c r="D59" i="14"/>
  <c r="F59" i="14" s="1"/>
  <c r="E59" i="14"/>
  <c r="C57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2" i="14"/>
  <c r="F33" i="14"/>
  <c r="F34" i="14"/>
  <c r="F35" i="14"/>
  <c r="F37" i="14"/>
  <c r="F38" i="14"/>
  <c r="F40" i="14"/>
  <c r="F41" i="14"/>
  <c r="F10" i="14"/>
  <c r="F11" i="14"/>
  <c r="F12" i="14"/>
  <c r="F13" i="14"/>
  <c r="F14" i="14"/>
  <c r="F8" i="14"/>
  <c r="D25" i="22" l="1"/>
  <c r="E25" i="22"/>
  <c r="D12" i="22"/>
  <c r="D103" i="22" l="1"/>
  <c r="D82" i="22"/>
  <c r="D329" i="26" l="1"/>
  <c r="L13" i="26" s="1"/>
  <c r="L33" i="26" s="1"/>
  <c r="E329" i="26"/>
  <c r="E328" i="26" l="1"/>
  <c r="M13" i="26"/>
  <c r="M33" i="26" s="1"/>
  <c r="D328" i="26"/>
  <c r="D326" i="26" s="1"/>
  <c r="F25" i="22"/>
  <c r="F82" i="22"/>
  <c r="D28" i="24" l="1"/>
  <c r="F136" i="26"/>
  <c r="F148" i="26"/>
  <c r="G136" i="26" l="1"/>
  <c r="H136" i="26"/>
  <c r="F131" i="26"/>
  <c r="F145" i="26"/>
  <c r="F144" i="26" l="1"/>
  <c r="F142" i="26" l="1"/>
  <c r="F40" i="26"/>
  <c r="H42" i="26"/>
  <c r="G42" i="26"/>
  <c r="D249" i="26"/>
  <c r="D248" i="26" s="1"/>
  <c r="D262" i="26" l="1"/>
  <c r="D268" i="26"/>
  <c r="D278" i="26"/>
  <c r="D277" i="26" s="1"/>
  <c r="D261" i="26" l="1"/>
  <c r="D259" i="26" s="1"/>
  <c r="D194" i="26" l="1"/>
  <c r="E326" i="26"/>
  <c r="D324" i="26" l="1"/>
  <c r="D323" i="26" s="1"/>
  <c r="D321" i="26" s="1"/>
  <c r="D171" i="26" l="1"/>
  <c r="D170" i="26" s="1"/>
  <c r="D168" i="26" s="1"/>
  <c r="E171" i="26"/>
  <c r="D306" i="26"/>
  <c r="D291" i="26"/>
  <c r="D283" i="26"/>
  <c r="E291" i="26"/>
  <c r="D228" i="26"/>
  <c r="L28" i="26" s="1"/>
  <c r="E170" i="26" l="1"/>
  <c r="E168" i="26" s="1"/>
  <c r="H171" i="26"/>
  <c r="G171" i="26"/>
  <c r="H291" i="26"/>
  <c r="G291" i="26"/>
  <c r="D282" i="26"/>
  <c r="D104" i="26"/>
  <c r="D64" i="26"/>
  <c r="D63" i="26" s="1"/>
  <c r="D131" i="26"/>
  <c r="E37" i="26" l="1"/>
  <c r="D37" i="26"/>
  <c r="D252" i="26"/>
  <c r="D251" i="26" l="1"/>
  <c r="D19" i="26"/>
  <c r="D6" i="24"/>
  <c r="D246" i="26" l="1"/>
  <c r="F74" i="26" l="1"/>
  <c r="F63" i="26" s="1"/>
  <c r="H79" i="26"/>
  <c r="G79" i="26"/>
  <c r="F331" i="26"/>
  <c r="E260" i="26"/>
  <c r="F249" i="26"/>
  <c r="F248" i="26" s="1"/>
  <c r="F252" i="26"/>
  <c r="F251" i="26" s="1"/>
  <c r="H331" i="26" l="1"/>
  <c r="G331" i="26"/>
  <c r="F246" i="26"/>
  <c r="F104" i="26"/>
  <c r="F329" i="26" l="1"/>
  <c r="F170" i="26"/>
  <c r="F257" i="26"/>
  <c r="F168" i="26" l="1"/>
  <c r="H170" i="26"/>
  <c r="G170" i="26"/>
  <c r="F256" i="26"/>
  <c r="G257" i="26"/>
  <c r="H257" i="26"/>
  <c r="H329" i="26"/>
  <c r="G329" i="26"/>
  <c r="F328" i="26"/>
  <c r="N13" i="26"/>
  <c r="N33" i="26" s="1"/>
  <c r="F261" i="26"/>
  <c r="F259" i="26" l="1"/>
  <c r="H261" i="26"/>
  <c r="G261" i="26"/>
  <c r="F254" i="26"/>
  <c r="H256" i="26"/>
  <c r="G256" i="26"/>
  <c r="F326" i="26"/>
  <c r="H328" i="26"/>
  <c r="G328" i="26"/>
  <c r="H168" i="26"/>
  <c r="G168" i="26"/>
  <c r="F306" i="26"/>
  <c r="E306" i="26"/>
  <c r="D303" i="26"/>
  <c r="D302" i="26" s="1"/>
  <c r="D280" i="26" s="1"/>
  <c r="E303" i="26"/>
  <c r="F303" i="26"/>
  <c r="H306" i="26" l="1"/>
  <c r="G306" i="26"/>
  <c r="H303" i="26"/>
  <c r="G303" i="26"/>
  <c r="G254" i="26"/>
  <c r="H254" i="26"/>
  <c r="H326" i="26"/>
  <c r="G326" i="26"/>
  <c r="F302" i="26"/>
  <c r="N17" i="26"/>
  <c r="E302" i="26"/>
  <c r="E283" i="26"/>
  <c r="E282" i="26" s="1"/>
  <c r="F283" i="26"/>
  <c r="G302" i="26" l="1"/>
  <c r="H302" i="26"/>
  <c r="H283" i="26"/>
  <c r="G283" i="26"/>
  <c r="E280" i="26"/>
  <c r="F282" i="26"/>
  <c r="F194" i="26"/>
  <c r="F280" i="26" l="1"/>
  <c r="H282" i="26"/>
  <c r="G282" i="26"/>
  <c r="F183" i="26"/>
  <c r="K28" i="9"/>
  <c r="I28" i="9"/>
  <c r="H28" i="9"/>
  <c r="G28" i="9"/>
  <c r="F28" i="9"/>
  <c r="E28" i="9"/>
  <c r="L28" i="9"/>
  <c r="J26" i="9"/>
  <c r="J28" i="9" s="1"/>
  <c r="E75" i="24"/>
  <c r="E5" i="24" s="1"/>
  <c r="C5" i="24"/>
  <c r="D5" i="24"/>
  <c r="H280" i="26" l="1"/>
  <c r="G280" i="26"/>
  <c r="F37" i="26"/>
  <c r="F19" i="26"/>
  <c r="G37" i="26" l="1"/>
  <c r="H37" i="26"/>
  <c r="F9" i="26"/>
  <c r="F103" i="22"/>
  <c r="D77" i="22"/>
  <c r="F77" i="22"/>
  <c r="E103" i="22"/>
  <c r="E78" i="22"/>
  <c r="D34" i="22"/>
  <c r="E34" i="22"/>
  <c r="F34" i="22"/>
  <c r="F33" i="22" s="1"/>
  <c r="E7" i="22"/>
  <c r="D23" i="22"/>
  <c r="E23" i="22"/>
  <c r="F23" i="22"/>
  <c r="E12" i="22"/>
  <c r="D7" i="22"/>
  <c r="F7" i="22"/>
  <c r="F6" i="22" s="1"/>
  <c r="N5" i="9"/>
  <c r="M5" i="9"/>
  <c r="L5" i="9"/>
  <c r="K5" i="9"/>
  <c r="J5" i="9"/>
  <c r="I5" i="9"/>
  <c r="H5" i="9"/>
  <c r="G5" i="9"/>
  <c r="E252" i="26"/>
  <c r="E251" i="26" s="1"/>
  <c r="E249" i="26"/>
  <c r="E248" i="26" s="1"/>
  <c r="D218" i="26"/>
  <c r="L14" i="26" s="1"/>
  <c r="F218" i="26"/>
  <c r="D227" i="26"/>
  <c r="D225" i="26" s="1"/>
  <c r="F228" i="26"/>
  <c r="E228" i="26"/>
  <c r="E227" i="26" s="1"/>
  <c r="E225" i="26" s="1"/>
  <c r="E218" i="26"/>
  <c r="E217" i="26" s="1"/>
  <c r="E215" i="26" s="1"/>
  <c r="F227" i="26" l="1"/>
  <c r="G228" i="26"/>
  <c r="H228" i="26"/>
  <c r="H218" i="26"/>
  <c r="G218" i="26"/>
  <c r="H248" i="26"/>
  <c r="G248" i="26"/>
  <c r="D6" i="22"/>
  <c r="F217" i="26"/>
  <c r="F215" i="26" s="1"/>
  <c r="E33" i="22"/>
  <c r="E77" i="22"/>
  <c r="D33" i="22"/>
  <c r="D217" i="26"/>
  <c r="E246" i="26"/>
  <c r="E6" i="22"/>
  <c r="E194" i="26"/>
  <c r="D200" i="26"/>
  <c r="D199" i="26" s="1"/>
  <c r="F200" i="26"/>
  <c r="E200" i="26"/>
  <c r="E199" i="26" s="1"/>
  <c r="D184" i="26"/>
  <c r="D183" i="26" s="1"/>
  <c r="E184" i="26"/>
  <c r="E178" i="26"/>
  <c r="E154" i="26"/>
  <c r="E164" i="26"/>
  <c r="E148" i="26"/>
  <c r="E145" i="26"/>
  <c r="D122" i="26"/>
  <c r="D120" i="26" s="1"/>
  <c r="F123" i="26"/>
  <c r="E123" i="26"/>
  <c r="E131" i="26"/>
  <c r="G249" i="26"/>
  <c r="H249" i="26"/>
  <c r="G250" i="26"/>
  <c r="H250" i="26"/>
  <c r="G251" i="26"/>
  <c r="H251" i="26"/>
  <c r="G252" i="26"/>
  <c r="H252" i="26"/>
  <c r="G253" i="26"/>
  <c r="H253" i="26"/>
  <c r="G259" i="26"/>
  <c r="H259" i="26"/>
  <c r="E74" i="26"/>
  <c r="D100" i="26"/>
  <c r="L17" i="26" s="1"/>
  <c r="E100" i="26"/>
  <c r="E64" i="26"/>
  <c r="D10" i="26"/>
  <c r="D33" i="26"/>
  <c r="F30" i="26"/>
  <c r="E33" i="26"/>
  <c r="E19" i="26"/>
  <c r="E10" i="26"/>
  <c r="E176" i="26" l="1"/>
  <c r="H178" i="26"/>
  <c r="G178" i="26"/>
  <c r="H154" i="26"/>
  <c r="G154" i="26"/>
  <c r="N30" i="26"/>
  <c r="H123" i="26"/>
  <c r="G123" i="26"/>
  <c r="H184" i="26"/>
  <c r="G184" i="26"/>
  <c r="H145" i="26"/>
  <c r="G145" i="26"/>
  <c r="H194" i="26"/>
  <c r="G194" i="26"/>
  <c r="H148" i="26"/>
  <c r="G148" i="26"/>
  <c r="L21" i="26"/>
  <c r="L34" i="26" s="1"/>
  <c r="H131" i="26"/>
  <c r="G131" i="26"/>
  <c r="E163" i="26"/>
  <c r="H164" i="26"/>
  <c r="G164" i="26"/>
  <c r="N21" i="26"/>
  <c r="G200" i="26"/>
  <c r="H200" i="26"/>
  <c r="F225" i="26"/>
  <c r="H227" i="26"/>
  <c r="G227" i="26"/>
  <c r="H215" i="26"/>
  <c r="G215" i="26"/>
  <c r="G246" i="26"/>
  <c r="H246" i="26"/>
  <c r="H217" i="26"/>
  <c r="G217" i="26"/>
  <c r="M10" i="26"/>
  <c r="M30" i="26" s="1"/>
  <c r="H10" i="26"/>
  <c r="G10" i="26"/>
  <c r="H64" i="26"/>
  <c r="G64" i="26"/>
  <c r="M17" i="26"/>
  <c r="H100" i="26"/>
  <c r="G100" i="26"/>
  <c r="H74" i="26"/>
  <c r="G74" i="26"/>
  <c r="M14" i="26"/>
  <c r="H19" i="26"/>
  <c r="G19" i="26"/>
  <c r="H33" i="26"/>
  <c r="G33" i="26"/>
  <c r="F7" i="26"/>
  <c r="L10" i="26"/>
  <c r="L30" i="26" s="1"/>
  <c r="E183" i="26"/>
  <c r="D9" i="26"/>
  <c r="L9" i="26" s="1"/>
  <c r="D215" i="26"/>
  <c r="E63" i="26"/>
  <c r="D181" i="26"/>
  <c r="F199" i="26"/>
  <c r="F122" i="26"/>
  <c r="E30" i="26"/>
  <c r="D30" i="26"/>
  <c r="E144" i="26"/>
  <c r="E122" i="26"/>
  <c r="E120" i="26" s="1"/>
  <c r="E9" i="26"/>
  <c r="M9" i="26" l="1"/>
  <c r="L35" i="26"/>
  <c r="H122" i="26"/>
  <c r="G122" i="26"/>
  <c r="F181" i="26"/>
  <c r="H199" i="26"/>
  <c r="G199" i="26"/>
  <c r="H225" i="26"/>
  <c r="G225" i="26"/>
  <c r="G163" i="26"/>
  <c r="H163" i="26"/>
  <c r="E181" i="26"/>
  <c r="H183" i="26"/>
  <c r="G183" i="26"/>
  <c r="E142" i="26"/>
  <c r="H144" i="26"/>
  <c r="G144" i="26"/>
  <c r="H176" i="26"/>
  <c r="G176" i="26"/>
  <c r="D7" i="26"/>
  <c r="F120" i="26"/>
  <c r="H9" i="26"/>
  <c r="E7" i="26"/>
  <c r="G181" i="26" l="1"/>
  <c r="H181" i="26"/>
  <c r="G142" i="26"/>
  <c r="H142" i="26"/>
  <c r="F89" i="14"/>
  <c r="C25" i="14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C81" i="14"/>
  <c r="D81" i="14"/>
  <c r="D93" i="14" s="1"/>
  <c r="E81" i="14"/>
  <c r="E93" i="14" s="1"/>
  <c r="F81" i="14"/>
  <c r="E85" i="14"/>
  <c r="F85" i="14"/>
  <c r="F93" i="14" l="1"/>
  <c r="H50" i="14"/>
  <c r="G50" i="14"/>
  <c r="G6" i="24"/>
  <c r="G28" i="24"/>
  <c r="G66" i="24"/>
  <c r="G75" i="24"/>
  <c r="G76" i="24"/>
  <c r="H7" i="22" l="1"/>
  <c r="G7" i="22"/>
  <c r="H73" i="14" l="1"/>
  <c r="G73" i="14"/>
  <c r="N11" i="9" l="1"/>
  <c r="N16" i="9"/>
  <c r="N21" i="9"/>
  <c r="N26" i="9"/>
  <c r="N27" i="9"/>
  <c r="M7" i="9"/>
  <c r="M11" i="9"/>
  <c r="M16" i="9"/>
  <c r="M21" i="9"/>
  <c r="M26" i="9"/>
  <c r="M27" i="9"/>
  <c r="F6" i="24"/>
  <c r="F28" i="24"/>
  <c r="F66" i="24"/>
  <c r="F75" i="24"/>
  <c r="F76" i="24"/>
  <c r="H30" i="26"/>
  <c r="H63" i="26"/>
  <c r="H103" i="26"/>
  <c r="H105" i="26"/>
  <c r="H107" i="26"/>
  <c r="H108" i="26"/>
  <c r="H114" i="26"/>
  <c r="H117" i="26"/>
  <c r="H118" i="26"/>
  <c r="H262" i="26"/>
  <c r="G9" i="26"/>
  <c r="G30" i="26"/>
  <c r="G63" i="26"/>
  <c r="G103" i="26"/>
  <c r="G105" i="26"/>
  <c r="G107" i="26"/>
  <c r="G108" i="26"/>
  <c r="G114" i="26"/>
  <c r="G117" i="26"/>
  <c r="G118" i="26"/>
  <c r="G262" i="26"/>
  <c r="H12" i="22"/>
  <c r="G12" i="22"/>
  <c r="H23" i="22"/>
  <c r="G23" i="22"/>
  <c r="H25" i="22"/>
  <c r="G25" i="22"/>
  <c r="H24" i="22"/>
  <c r="H31" i="22"/>
  <c r="H34" i="22"/>
  <c r="H45" i="22"/>
  <c r="H48" i="22"/>
  <c r="H56" i="22"/>
  <c r="H78" i="22"/>
  <c r="H82" i="22"/>
  <c r="H103" i="22"/>
  <c r="G11" i="22"/>
  <c r="G24" i="22"/>
  <c r="G31" i="22"/>
  <c r="G34" i="22"/>
  <c r="G45" i="22"/>
  <c r="G48" i="22"/>
  <c r="G56" i="22"/>
  <c r="G78" i="22"/>
  <c r="G82" i="22"/>
  <c r="G103" i="22"/>
  <c r="D99" i="26" l="1"/>
  <c r="L16" i="26" s="1"/>
  <c r="D115" i="26"/>
  <c r="L23" i="26" s="1"/>
  <c r="F116" i="26"/>
  <c r="N28" i="26" s="1"/>
  <c r="N34" i="26" s="1"/>
  <c r="N35" i="26" s="1"/>
  <c r="E116" i="26"/>
  <c r="M28" i="26" s="1"/>
  <c r="H260" i="26"/>
  <c r="E104" i="26"/>
  <c r="M21" i="26" s="1"/>
  <c r="M34" i="26" s="1"/>
  <c r="M35" i="26" s="1"/>
  <c r="H7" i="26"/>
  <c r="G260" i="26"/>
  <c r="G5" i="24"/>
  <c r="M28" i="9"/>
  <c r="N28" i="9"/>
  <c r="P26" i="9"/>
  <c r="P21" i="9"/>
  <c r="P7" i="9"/>
  <c r="P27" i="9"/>
  <c r="P11" i="9"/>
  <c r="O26" i="9"/>
  <c r="O21" i="9"/>
  <c r="G7" i="26"/>
  <c r="P16" i="9"/>
  <c r="O27" i="9"/>
  <c r="O11" i="9"/>
  <c r="O7" i="9"/>
  <c r="O16" i="9"/>
  <c r="F5" i="24"/>
  <c r="L8" i="26" l="1"/>
  <c r="D61" i="26"/>
  <c r="G116" i="26"/>
  <c r="E115" i="26"/>
  <c r="M23" i="26" s="1"/>
  <c r="F99" i="26"/>
  <c r="F115" i="26"/>
  <c r="H116" i="26"/>
  <c r="E99" i="26"/>
  <c r="M16" i="26" s="1"/>
  <c r="H104" i="26"/>
  <c r="G104" i="26"/>
  <c r="O28" i="9"/>
  <c r="H71" i="14"/>
  <c r="H72" i="14"/>
  <c r="H74" i="14"/>
  <c r="H75" i="14"/>
  <c r="H76" i="14"/>
  <c r="H77" i="14"/>
  <c r="G71" i="14"/>
  <c r="G72" i="14"/>
  <c r="G74" i="14"/>
  <c r="G75" i="14"/>
  <c r="G76" i="14"/>
  <c r="G77" i="14"/>
  <c r="H53" i="14"/>
  <c r="H54" i="14"/>
  <c r="H55" i="14"/>
  <c r="H56" i="14"/>
  <c r="H58" i="14"/>
  <c r="H59" i="14"/>
  <c r="H60" i="14"/>
  <c r="H61" i="14"/>
  <c r="H62" i="14"/>
  <c r="H63" i="14"/>
  <c r="H65" i="14"/>
  <c r="H66" i="14"/>
  <c r="H6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4" i="14"/>
  <c r="H35" i="14"/>
  <c r="H37" i="14"/>
  <c r="H38" i="14"/>
  <c r="H40" i="14"/>
  <c r="H41" i="14"/>
  <c r="N23" i="26" l="1"/>
  <c r="H115" i="26"/>
  <c r="G115" i="26"/>
  <c r="F61" i="26"/>
  <c r="H99" i="26"/>
  <c r="G99" i="26"/>
  <c r="N16" i="26"/>
  <c r="N8" i="26" s="1"/>
  <c r="M8" i="26"/>
  <c r="E61" i="26"/>
  <c r="H8" i="14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8" i="14"/>
  <c r="G61" i="26" l="1"/>
  <c r="H61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D42" i="14" l="1"/>
  <c r="F42" i="14" s="1"/>
  <c r="F22" i="14"/>
  <c r="G22" i="14" s="1"/>
  <c r="G64" i="14"/>
  <c r="H64" i="14"/>
  <c r="G57" i="14"/>
  <c r="H57" i="14"/>
  <c r="G52" i="14"/>
  <c r="H52" i="14"/>
  <c r="C68" i="14"/>
  <c r="E68" i="14"/>
  <c r="D68" i="14"/>
  <c r="F68" i="14"/>
  <c r="D25" i="14"/>
  <c r="F25" i="14" s="1"/>
  <c r="H25" i="14" s="1"/>
  <c r="D16" i="14"/>
  <c r="F16" i="14" s="1"/>
  <c r="E16" i="14"/>
  <c r="C16" i="14"/>
  <c r="D9" i="14"/>
  <c r="F9" i="14" s="1"/>
  <c r="E9" i="14"/>
  <c r="C9" i="14"/>
  <c r="H22" i="14" l="1"/>
  <c r="G25" i="14"/>
  <c r="C43" i="14"/>
  <c r="D43" i="14"/>
  <c r="F43" i="14" s="1"/>
  <c r="E15" i="14"/>
  <c r="E43" i="14"/>
  <c r="G42" i="14"/>
  <c r="H42" i="14"/>
  <c r="H9" i="14"/>
  <c r="H16" i="14"/>
  <c r="G68" i="14"/>
  <c r="H68" i="14"/>
  <c r="G9" i="14"/>
  <c r="G16" i="14"/>
  <c r="E31" i="14" l="1"/>
  <c r="E36" i="14" s="1"/>
  <c r="G43" i="14"/>
  <c r="H43" i="14"/>
  <c r="E39" i="14" l="1"/>
  <c r="D15" i="14" l="1"/>
  <c r="D31" i="14" l="1"/>
  <c r="F31" i="14" s="1"/>
  <c r="F15" i="14"/>
  <c r="C15" i="14"/>
  <c r="D36" i="14" l="1"/>
  <c r="D39" i="14" s="1"/>
  <c r="F39" i="14" s="1"/>
  <c r="G15" i="14"/>
  <c r="H15" i="14"/>
  <c r="G31" i="14"/>
  <c r="H31" i="14"/>
  <c r="C31" i="14"/>
  <c r="C36" i="14" s="1"/>
  <c r="C39" i="14" s="1"/>
  <c r="F36" i="14" l="1"/>
  <c r="H36" i="14" s="1"/>
  <c r="H39" i="14"/>
  <c r="G39" i="14"/>
  <c r="G36" i="14" l="1"/>
</calcChain>
</file>

<file path=xl/sharedStrings.xml><?xml version="1.0" encoding="utf-8"?>
<sst xmlns="http://schemas.openxmlformats.org/spreadsheetml/2006/main" count="938" uniqueCount="477">
  <si>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</si>
  <si>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</si>
  <si>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</si>
  <si>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</si>
  <si>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</si>
  <si>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</si>
  <si>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</si>
  <si>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</si>
  <si>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</si>
  <si>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</si>
  <si>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</si>
  <si>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</si>
  <si>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</si>
  <si>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</si>
  <si>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</si>
  <si>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</si>
  <si>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</si>
  <si>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</si>
  <si>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</si>
  <si>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</si>
  <si>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</si>
  <si>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</si>
  <si>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</si>
  <si>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</si>
  <si>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</si>
  <si>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</si>
  <si>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</si>
  <si>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</si>
  <si>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</si>
  <si>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</si>
  <si>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</si>
  <si>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</si>
  <si>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</si>
  <si>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</si>
  <si>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</si>
  <si>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</si>
  <si>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</si>
  <si>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</si>
  <si>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</si>
  <si>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</si>
  <si>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</si>
  <si>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</si>
  <si>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</si>
  <si>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</si>
  <si>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</si>
  <si>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</si>
  <si>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</si>
  <si>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</si>
  <si>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</si>
  <si>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</si>
  <si>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</si>
  <si>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</si>
  <si>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</si>
  <si>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</si>
  <si>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</si>
  <si>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</si>
  <si>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</si>
  <si>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</si>
  <si>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</si>
  <si>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</si>
  <si>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</si>
  <si>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</si>
  <si>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</si>
  <si>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</si>
  <si>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</si>
  <si>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</si>
  <si>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</si>
  <si>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</si>
  <si>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</si>
  <si>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</si>
  <si>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</si>
  <si>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</si>
  <si>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</si>
  <si>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</si>
  <si>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</si>
  <si>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</si>
  <si>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</si>
  <si>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</si>
  <si>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</si>
  <si>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</si>
  <si>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</si>
  <si>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</si>
  <si>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</si>
  <si>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</si>
  <si>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</si>
  <si>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</si>
  <si>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</si>
  <si>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</si>
  <si>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</si>
  <si>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</si>
  <si>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</si>
  <si>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</si>
  <si>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</si>
  <si>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</si>
  <si>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</si>
  <si>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</si>
  <si>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</si>
  <si>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Капітальний ремонт,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</si>
  <si>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</si>
  <si>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</si>
  <si>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</si>
  <si>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</si>
  <si>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</si>
  <si>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</si>
  <si>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</si>
  <si>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</si>
  <si>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</si>
  <si>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</si>
  <si>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</si>
  <si>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</si>
  <si>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</si>
  <si>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</si>
  <si>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</si>
  <si>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</si>
  <si>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</si>
  <si>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</si>
  <si>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</si>
  <si>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</si>
  <si>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</si>
  <si>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</si>
  <si>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</si>
  <si>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</si>
  <si>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</si>
  <si>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</si>
  <si>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</si>
  <si>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</si>
  <si>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</si>
  <si>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</si>
  <si>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</si>
  <si>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</si>
  <si>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</si>
  <si>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</si>
  <si>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</si>
  <si>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</si>
  <si>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Бюджетне фінансування</t>
  </si>
  <si>
    <t>Власні кошти</t>
  </si>
  <si>
    <t>Інші джерела (розшифрувати)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</si>
  <si>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</si>
  <si>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</si>
  <si>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</si>
  <si>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</si>
  <si>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</si>
  <si>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</si>
  <si>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</si>
  <si>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</si>
  <si>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</si>
  <si>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</si>
  <si>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</si>
  <si>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</si>
  <si>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</si>
  <si>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</si>
  <si>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</si>
  <si>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</si>
  <si>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</si>
  <si>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</si>
  <si>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</si>
  <si>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</si>
  <si>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</si>
  <si>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</si>
  <si>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</si>
  <si>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</si>
  <si>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>супровід програмного забезпечення, медіа-супровід, обслуговування сайту, кваліфікований електронний підпис</t>
  </si>
  <si>
    <t xml:space="preserve">охоронна сигналізація </t>
  </si>
  <si>
    <t>1.3.2</t>
  </si>
  <si>
    <t>1.3.3</t>
  </si>
  <si>
    <t>2.1.1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</si>
  <si>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</si>
  <si>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</si>
  <si>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</si>
  <si>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</si>
  <si>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</si>
  <si>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</si>
  <si>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</si>
  <si>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>страхування цивільної відповідальності власників транспортних засобів</t>
  </si>
  <si>
    <t>утилізація, дезінфекція, дезінсекція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</si>
  <si>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</si>
  <si>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</si>
  <si>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</si>
  <si>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</si>
  <si>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</si>
  <si>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</si>
  <si>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</si>
  <si>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>пільгова пенсія</t>
  </si>
  <si>
    <t xml:space="preserve">За рахунок коштів отриманих від реалізації продукції молочної кухні </t>
  </si>
  <si>
    <t>паливно-мастильні матеріали</t>
  </si>
  <si>
    <t>Інші витрати, у сього, у т.ч.:</t>
  </si>
  <si>
    <t>ремонт та технічне обслуговування немедичного обладнання</t>
  </si>
  <si>
    <t>страхування цивільно-правової відповідальності власників транспортних засобів</t>
  </si>
  <si>
    <t>Інші  витрати, усього, у т.ч.:</t>
  </si>
  <si>
    <t>Інші операційні витрати, усього, в т.ч.:</t>
  </si>
  <si>
    <t>податок на додану вартість</t>
  </si>
  <si>
    <t>7.</t>
  </si>
  <si>
    <r>
      <t>Кошти державного бюджету (</t>
    </r>
    <r>
      <rPr>
        <b/>
        <i/>
        <sz val="16"/>
        <rFont val="Times New Roman"/>
        <family val="1"/>
        <charset val="204"/>
      </rPr>
      <t>відшкодування лікарям-інтернам за проходження інтернатури)</t>
    </r>
  </si>
  <si>
    <t>7.1</t>
  </si>
  <si>
    <t>8.</t>
  </si>
  <si>
    <t>8.1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</si>
  <si>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</si>
  <si>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</si>
  <si>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CoV, предмети матеріали обладнання (в т.ч. медичного) та інвентарю</t>
  </si>
  <si>
    <t>медикаменти та перв'язувальні матеріали</t>
  </si>
  <si>
    <t>програма "СТОП ГРИП"</t>
  </si>
  <si>
    <t xml:space="preserve">хімреактиви, реагенти, тощо </t>
  </si>
  <si>
    <t>8.1.2</t>
  </si>
  <si>
    <t>8.1.3</t>
  </si>
  <si>
    <t xml:space="preserve">оплата електроенергії </t>
  </si>
  <si>
    <t xml:space="preserve">вивіз  сміття </t>
  </si>
  <si>
    <t>9.</t>
  </si>
  <si>
    <t>Кошти, отримані від реалізації в установленому порядку майна (крім нерухомого майна)</t>
  </si>
  <si>
    <t>Кошти орендарів (енергоносії)</t>
  </si>
  <si>
    <t>14.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</si>
  <si>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</si>
  <si>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</si>
  <si>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</si>
  <si>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</si>
  <si>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кошти державного бюджету від Національної служби здоров'я України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</si>
  <si>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</si>
  <si>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</si>
  <si>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t>кошти медичної субвенції з державного бюджету за рахунок залишку запасів минулих періодів</t>
  </si>
  <si>
    <r>
      <t xml:space="preserve">кошти державного бюджету </t>
    </r>
    <r>
      <rPr>
        <i/>
        <sz val="14"/>
        <rFont val="Times New Roman"/>
        <family val="1"/>
        <charset val="204"/>
      </rPr>
      <t>(відшкодування лікарям-інтернам за проходження інтернатури</t>
    </r>
    <r>
      <rPr>
        <sz val="14"/>
        <rFont val="Times New Roman"/>
        <family val="1"/>
        <charset val="204"/>
      </rPr>
      <t>)</t>
    </r>
  </si>
  <si>
    <t>кошти, отримані від реалізації в установленому порядку майна (крім нерухомого майна)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</si>
  <si>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</si>
  <si>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</si>
  <si>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</si>
  <si>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</si>
  <si>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</si>
  <si>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</si>
  <si>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</si>
  <si>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</si>
  <si>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</si>
  <si>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ремонт та технінче обслуговування ПК та оргтехніки</t>
  </si>
  <si>
    <t>ПДВ</t>
  </si>
  <si>
    <t xml:space="preserve">пільгова пенсія </t>
  </si>
  <si>
    <t xml:space="preserve">Холодильна шафа ХШВ Shine (2 шт)                  </t>
  </si>
  <si>
    <t xml:space="preserve">Генератор Covidian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</si>
  <si>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Маяковського, 138</t>
  </si>
  <si>
    <t>12.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</si>
  <si>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</si>
  <si>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</si>
  <si>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</si>
  <si>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>13.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</si>
  <si>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</si>
  <si>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</si>
  <si>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 xml:space="preserve">ремонт та технічне облсуговування ліфтів </t>
  </si>
  <si>
    <t xml:space="preserve">пенсія </t>
  </si>
  <si>
    <t xml:space="preserve">послуги  з навчання 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</si>
  <si>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</si>
  <si>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</si>
  <si>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</si>
  <si>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18.</t>
  </si>
  <si>
    <t>металобрухт</t>
  </si>
  <si>
    <t>5.</t>
  </si>
  <si>
    <t>Кошти медичної субвенції з державного бюджету, за рахунок запасів минулих періодів</t>
  </si>
  <si>
    <t xml:space="preserve"> </t>
  </si>
  <si>
    <t>кошти Вінницької міської обєднаної територіальної громади (ВМТГ)</t>
  </si>
  <si>
    <t>Кошти бюджету ВМТГ</t>
  </si>
  <si>
    <t>інформаційно-консультаційні послуги</t>
  </si>
  <si>
    <t xml:space="preserve">Вертикальний підйомник для інвалідів та інших мало мобільних груп населення    </t>
  </si>
  <si>
    <t>Вентилятор побутовий 100С1, 94м3/год Домовент(2шт)</t>
  </si>
  <si>
    <t>Гігрометр ВІТ-Ш-2(+16+40С)ТУ З України 14307481.001-92 УКТЗЕД 9025808010(5 шт)</t>
  </si>
  <si>
    <t>паливно-мастильні метеріали</t>
  </si>
  <si>
    <t xml:space="preserve">науково-технічні роботи </t>
  </si>
  <si>
    <t xml:space="preserve">оцінка майна </t>
  </si>
  <si>
    <t xml:space="preserve">ремонт та технічне обслуговування авто </t>
  </si>
  <si>
    <t xml:space="preserve">податки </t>
  </si>
  <si>
    <t>публікація в газеті</t>
  </si>
  <si>
    <t>19.</t>
  </si>
  <si>
    <t>Дохід від курсової різниці на залишок коштів валютного рахунку</t>
  </si>
  <si>
    <t>19.1.1</t>
  </si>
  <si>
    <t>курсова різниця</t>
  </si>
  <si>
    <t xml:space="preserve">лікарняні листи </t>
  </si>
  <si>
    <t>Кошти державного бюджету від Національної служби здоров'я України за рахунок залишку коштів на рахунок</t>
  </si>
  <si>
    <r>
      <t xml:space="preserve">Кошти від надання послуг з  немедичної діяльності </t>
    </r>
    <r>
      <rPr>
        <i/>
        <sz val="16"/>
        <rFont val="Times New Roman"/>
        <family val="1"/>
        <charset val="204"/>
      </rPr>
      <t>(платні палати, стажування інтернів)</t>
    </r>
  </si>
  <si>
    <t>Кошти від надання послуг з медичної діяльності, відшкодування від страхової компанії</t>
  </si>
  <si>
    <t>пенсія</t>
  </si>
  <si>
    <t xml:space="preserve">публікація в газеті </t>
  </si>
  <si>
    <t xml:space="preserve">курсова різниця </t>
  </si>
  <si>
    <t>кошти від надання послуг з  медичної діяльності, відшкодування від страхової компанії</t>
  </si>
  <si>
    <t>дохід від оприбуткування вторсировини (металобрухт, медичних відходів)</t>
  </si>
  <si>
    <t>Дохід від оприбуткування вторсировини (металобрухт, медичних відходів)</t>
  </si>
  <si>
    <t>профвнески</t>
  </si>
  <si>
    <t>проведення наглядового аудиту мертифікації управління якістю</t>
  </si>
  <si>
    <t xml:space="preserve">кошти Вінницької міської обєднаної територіальної громади (ВМТГ) за рахунок запасів минулих періодів </t>
  </si>
  <si>
    <t xml:space="preserve">запчастини до медичного обладнання, основних засобів, інших необоротних активів та інші необоротні матеріальні активи </t>
  </si>
  <si>
    <t xml:space="preserve">страхування майна </t>
  </si>
  <si>
    <t>експертний висновок (доступність будівель)</t>
  </si>
  <si>
    <t>фотозйомка для Google Map</t>
  </si>
  <si>
    <t xml:space="preserve">ліцензія </t>
  </si>
  <si>
    <t xml:space="preserve">ремонт та технічне обслуговування ліфтів </t>
  </si>
  <si>
    <t xml:space="preserve">відключення від системи газопостачання </t>
  </si>
  <si>
    <t xml:space="preserve">експертний висновок </t>
  </si>
  <si>
    <t xml:space="preserve">земельний податок </t>
  </si>
  <si>
    <t xml:space="preserve">послуги з захоронення мертвонародженого плоду </t>
  </si>
  <si>
    <t xml:space="preserve">паливно-мастильні матеріали </t>
  </si>
  <si>
    <t xml:space="preserve">запчастини до медичного обладнання, основних засобів, інших необоротних матеріальних активів та інші необоротні матеріальні активи </t>
  </si>
  <si>
    <t xml:space="preserve">харчування </t>
  </si>
  <si>
    <t>фотозйомка Google Map</t>
  </si>
  <si>
    <t xml:space="preserve">супровід програмного зебезпечення, медіа-супровід, обслуговування сайту, кваліфікований електронний підпис </t>
  </si>
  <si>
    <t xml:space="preserve">проведення наглядового аудиту сертифікації управління якістю </t>
  </si>
  <si>
    <t xml:space="preserve">оцінка приміщень/обладнання </t>
  </si>
  <si>
    <t xml:space="preserve">Кошти, отримані від реалізації в установленому порядку майна (крім нерухомого майна)за рахунок минулих періодів </t>
  </si>
  <si>
    <t xml:space="preserve">Кошти орендарів (енергоносії) за рахунок залишку минулих періодів </t>
  </si>
  <si>
    <t xml:space="preserve">вивіз сміття </t>
  </si>
  <si>
    <t>Факт 
за І півріччя 2022 року</t>
  </si>
  <si>
    <t>Факт                   за І півріччя 2021 року</t>
  </si>
  <si>
    <t>План 
на І півріччя   2022 року</t>
  </si>
  <si>
    <t>Факт 
заІ півріччя 2022 року</t>
  </si>
  <si>
    <t>План 
на І півріччя 2022 року</t>
  </si>
  <si>
    <t>за І півріччя 2022 року</t>
  </si>
  <si>
    <t>за І півріччя  2021 року</t>
  </si>
  <si>
    <t>план 
на І півріччя 2022 року</t>
  </si>
  <si>
    <t>факт 
за І півріччя  2022 року</t>
  </si>
  <si>
    <t>План 
на І півріччя  2022 року</t>
  </si>
  <si>
    <t>насос шприцевий BeneFusion (5 шт)</t>
  </si>
  <si>
    <t xml:space="preserve">шафа з вітриною 2,3*2,4*0,5          </t>
  </si>
  <si>
    <t xml:space="preserve">шафа універсальна 2-х секційна 2,0*1,0*0,45    </t>
  </si>
  <si>
    <t xml:space="preserve">шафа 2,3*1,05*0,6   </t>
  </si>
  <si>
    <t>шафа 2,3*1,2*0,6</t>
  </si>
  <si>
    <t xml:space="preserve">джерело безперебійного живлення Powercom Macan MAC OnLine                                </t>
  </si>
  <si>
    <t>шафа</t>
  </si>
  <si>
    <t xml:space="preserve">кухня ДСП з стіновою панеллю  </t>
  </si>
  <si>
    <t>фонтан</t>
  </si>
  <si>
    <t xml:space="preserve">кухонний гарнітур (стільниці з тумбами та мийками) </t>
  </si>
  <si>
    <t xml:space="preserve">апарат електрохірургічний "Фотек"     </t>
  </si>
  <si>
    <t xml:space="preserve">кольпоскоп МК-300 з відеосистемою       </t>
  </si>
  <si>
    <t xml:space="preserve">дозатор механічний одноканальний Proline 20-200 мкл.       </t>
  </si>
  <si>
    <t xml:space="preserve">стіл зі стільниці                                                                                                                                                                                       </t>
  </si>
  <si>
    <t xml:space="preserve">комплект: тумба з умивальником, дзеркало  </t>
  </si>
  <si>
    <t>ліжко 0,9*2,0 з каркасом металевий з ніжками (6 шт)</t>
  </si>
  <si>
    <t>матрац пружиний 0,9*2,0   (6 шт)</t>
  </si>
  <si>
    <t xml:space="preserve">мийка 0,57*0,445   </t>
  </si>
  <si>
    <t xml:space="preserve">стелаж трирівневий 1500*1000 з н/ж сталі       </t>
  </si>
  <si>
    <t xml:space="preserve">блендер BPAUN MQ5237BK  </t>
  </si>
  <si>
    <t xml:space="preserve">електрочайник Grunhelm                               </t>
  </si>
  <si>
    <t xml:space="preserve">мікрохвильова піч Delfa AMW-20MB (2 шт)       </t>
  </si>
  <si>
    <t xml:space="preserve">пульт електронний для керування блоком тенів 7500Вт 3*400 в  </t>
  </si>
  <si>
    <t xml:space="preserve">тканеві ролети беста-міні (10 шт)    </t>
  </si>
  <si>
    <t xml:space="preserve">вертикальні жалюзі                                                                                                                                                                                      </t>
  </si>
  <si>
    <t>інформаційний стенд (6 шт)</t>
  </si>
  <si>
    <t xml:space="preserve">принтер А4 Epson 1-Series </t>
  </si>
  <si>
    <t xml:space="preserve">детектор індивідуального моніторингу ДТГ-4 (ДТУ)  </t>
  </si>
  <si>
    <t xml:space="preserve">вогнегасник ВП-5  (4 шт)        </t>
  </si>
  <si>
    <t xml:space="preserve">пральна машина Indesit IWUC 40851    </t>
  </si>
  <si>
    <t xml:space="preserve">бактерицидна лампа Bactosfera OBB 15                  </t>
  </si>
  <si>
    <t xml:space="preserve">компресорний небулайзер     </t>
  </si>
  <si>
    <t>тонометр педіатричний з трьома манжетами Little Doctor LD 80</t>
  </si>
  <si>
    <t xml:space="preserve">ваги електронні для новонароджених Momert 6475        </t>
  </si>
  <si>
    <t>відбійник</t>
  </si>
  <si>
    <t>пральна машина Indesit E2SC 2160 W UA</t>
  </si>
  <si>
    <t xml:space="preserve">ліжко лікарняне б/в           </t>
  </si>
  <si>
    <t xml:space="preserve">матрац Ех-2 0,8*1,9                           </t>
  </si>
  <si>
    <t xml:space="preserve">електрочайник Philips 1,5л 240 Вт </t>
  </si>
  <si>
    <t xml:space="preserve">електрочайник Holmer HKS (Скло) </t>
  </si>
  <si>
    <t xml:space="preserve">електричний чайник Grunhelm (3 шт)   </t>
  </si>
  <si>
    <t>мікрохвильова піч Delfa AMW-20MB (3 шт)</t>
  </si>
  <si>
    <t xml:space="preserve">холодильник Delfa (white 89*49.5*46.5 см) (3 шт)   </t>
  </si>
  <si>
    <t>стілець Аскона (чорний)  (10 шт)</t>
  </si>
  <si>
    <t xml:space="preserve">тумба приліжкова 0,6*0,5*0,6    (4шт)                               </t>
  </si>
  <si>
    <t>тумба приліжкова 0,67/0,6*0,5 (2 шт)</t>
  </si>
  <si>
    <t>балон для аргону   (3 шт)</t>
  </si>
  <si>
    <t>Інфузійний насос, aitecs DF-12M Open System (2 шт)</t>
  </si>
  <si>
    <t xml:space="preserve">Дефібрилятор Cardiolife TEC-5621, monitoring + manual/AED    </t>
  </si>
  <si>
    <t xml:space="preserve">Монітор пацієнта uMEC 10        </t>
  </si>
  <si>
    <t xml:space="preserve">STARLINK    </t>
  </si>
  <si>
    <t xml:space="preserve">Пульсоксиметр РМ-60  </t>
  </si>
  <si>
    <t xml:space="preserve">Датчик SpO2 512H для дітей багаторазовий до пульсоксиметра                                                                                                                                              </t>
  </si>
  <si>
    <t xml:space="preserve">Відсмоктувач медичний "Біомед",модель 7Е-В                                                                                                                                                              </t>
  </si>
  <si>
    <t>Пульсоксиметр РМ-60  (2 шт)</t>
  </si>
  <si>
    <t xml:space="preserve">Відсмоктувач медичний "Біомед",модель 7Е-В  (4 шт)                                                                                                                                                            </t>
  </si>
  <si>
    <t>Холодильна шафа ХШВ Shine</t>
  </si>
  <si>
    <t>відшкодування коштів (згідно акту за результатами ревізії,  актів звірки та відшкодування оцінки майна )</t>
  </si>
  <si>
    <t xml:space="preserve">дохід від надання майна в оренду </t>
  </si>
  <si>
    <t>сурфактанти (куросурфи)</t>
  </si>
  <si>
    <t xml:space="preserve">Лічильник СЛ-1 лабараторний механічний </t>
  </si>
  <si>
    <t xml:space="preserve">JH-2001-36 (KCK-18) Коробка для стерилізації Schimmelbusch, 390*190мм                                                                                                                                   </t>
  </si>
  <si>
    <t xml:space="preserve">Штатив ШДВ-5Н-К </t>
  </si>
  <si>
    <t xml:space="preserve">Штатив ШДВ-5Р-К </t>
  </si>
  <si>
    <t xml:space="preserve">Апарат штучної вентиляції легенів Babylog 8000     </t>
  </si>
  <si>
    <t xml:space="preserve">Апарат штучної вентиляції легенів Babylog 8000 (2 шт)    </t>
  </si>
  <si>
    <t xml:space="preserve">Інкубатор для новонароджених Isolette C 2000        </t>
  </si>
  <si>
    <t xml:space="preserve">Монітор фетальний Sonicaid TEAM DUO      </t>
  </si>
  <si>
    <t xml:space="preserve">Датчик S4-2 зі встановленою опцією для кардіологічних досліджень  </t>
  </si>
  <si>
    <t>20.</t>
  </si>
  <si>
    <t xml:space="preserve">Дохід від надання майна в оренду </t>
  </si>
  <si>
    <t xml:space="preserve">Кошти орендарів (енергоносії) за рахунок запасів минулих періодів </t>
  </si>
  <si>
    <t>Звітний за І півріччя 2022 року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</si>
  <si>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</si>
  <si>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за І півріччя 2021 року</t>
  </si>
  <si>
    <t>2.1.2.</t>
  </si>
  <si>
    <t>2.1.3.</t>
  </si>
  <si>
    <t>3.1.</t>
  </si>
  <si>
    <t>3.1.1.</t>
  </si>
  <si>
    <t>3.1.5.</t>
  </si>
  <si>
    <t>4.1.4</t>
  </si>
  <si>
    <t>6.</t>
  </si>
  <si>
    <t>11.</t>
  </si>
  <si>
    <t>11.1</t>
  </si>
  <si>
    <t>15.</t>
  </si>
  <si>
    <t>16.</t>
  </si>
  <si>
    <t>21.</t>
  </si>
  <si>
    <t>21.1.1</t>
  </si>
  <si>
    <t>2.1</t>
  </si>
  <si>
    <t>Кошти бюджету ВМОТГ/ВМТГ за рахунок заапсів минулих періодів</t>
  </si>
  <si>
    <t>Директор КНП"ВМКЛ"ЦМтаД"</t>
  </si>
  <si>
    <t>Кошти від надання послуг з медичної діяльності, відшкодування від страхової компанії (залишок минулих періодів)</t>
  </si>
  <si>
    <t>4.1</t>
  </si>
  <si>
    <t>4.1.1</t>
  </si>
  <si>
    <t>4.1.2</t>
  </si>
  <si>
    <t>4.1.3</t>
  </si>
  <si>
    <t>4.1.5</t>
  </si>
  <si>
    <t>4.2</t>
  </si>
  <si>
    <t>4.2.1</t>
  </si>
  <si>
    <t>4.2.2</t>
  </si>
  <si>
    <t>4.3</t>
  </si>
  <si>
    <t>4.3.1</t>
  </si>
  <si>
    <t>5.1</t>
  </si>
  <si>
    <t>5.1.1</t>
  </si>
  <si>
    <t>5.1.2</t>
  </si>
  <si>
    <t>5.1.3</t>
  </si>
  <si>
    <t>5.1.4</t>
  </si>
  <si>
    <t>5.2</t>
  </si>
  <si>
    <t>5.2.1</t>
  </si>
  <si>
    <t>6.1</t>
  </si>
  <si>
    <t>6.1.1</t>
  </si>
  <si>
    <t>6.1.2</t>
  </si>
  <si>
    <t>6.2</t>
  </si>
  <si>
    <t>6.2.1</t>
  </si>
  <si>
    <t>6.3</t>
  </si>
  <si>
    <t>6.3.1</t>
  </si>
  <si>
    <t>7.1.1</t>
  </si>
  <si>
    <t>9.1</t>
  </si>
  <si>
    <t>9.1.1</t>
  </si>
  <si>
    <t>9.1.2</t>
  </si>
  <si>
    <t>9.1.3</t>
  </si>
  <si>
    <t>9.2</t>
  </si>
  <si>
    <t>9.2.5</t>
  </si>
  <si>
    <t>10</t>
  </si>
  <si>
    <t>10.1</t>
  </si>
  <si>
    <t>10.1.1</t>
  </si>
  <si>
    <t>11.1.1</t>
  </si>
  <si>
    <t>12.1</t>
  </si>
  <si>
    <t>12.1.1</t>
  </si>
  <si>
    <t>13.1</t>
  </si>
  <si>
    <t>13.1.1</t>
  </si>
  <si>
    <t>14.1</t>
  </si>
  <si>
    <t>14.1.1</t>
  </si>
  <si>
    <t>15.1</t>
  </si>
  <si>
    <t>15.1.1</t>
  </si>
  <si>
    <t>16.1</t>
  </si>
  <si>
    <t>16.1.1</t>
  </si>
  <si>
    <t>16.2</t>
  </si>
  <si>
    <t>16.2.1</t>
  </si>
  <si>
    <t>17.1</t>
  </si>
  <si>
    <t>17.1.1</t>
  </si>
  <si>
    <t>18.1</t>
  </si>
  <si>
    <t>18.1.1</t>
  </si>
  <si>
    <t>18.1.2</t>
  </si>
  <si>
    <t>18.2</t>
  </si>
  <si>
    <t>18.2.1</t>
  </si>
  <si>
    <t>18.3</t>
  </si>
  <si>
    <t>18.3.1</t>
  </si>
  <si>
    <t>19.1</t>
  </si>
  <si>
    <t>19.1.2</t>
  </si>
  <si>
    <t>19.1.3</t>
  </si>
  <si>
    <t>19.2</t>
  </si>
  <si>
    <t>19.2.1</t>
  </si>
  <si>
    <t>19.2.2</t>
  </si>
  <si>
    <t>20.1</t>
  </si>
  <si>
    <t>20.1.1</t>
  </si>
  <si>
    <t>21.1</t>
  </si>
  <si>
    <t>22.</t>
  </si>
  <si>
    <t>22.1</t>
  </si>
  <si>
    <t>22.1.1</t>
  </si>
  <si>
    <t>22.2</t>
  </si>
  <si>
    <t>22.2.1</t>
  </si>
  <si>
    <t>Директор КНП "ВМКЛ"ЦМтаД"</t>
  </si>
  <si>
    <t>ЗВІТ
 про виконання показників фінансового плану КНП"Вінницька міська клінічна лікрня "Центр матері та дитини"
за І піврічяя 2022 року</t>
  </si>
  <si>
    <t>Розшифровка до розділу  IV "Капітальні інвестиції" за джерелами надходження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</si>
</sst>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9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5" fillId="0" borderId="0"/>
  </cellStyleXfs>
  <cellXfs count="284">
    <xf numFmtId="0" fontId="0" fillId="0" borderId="0" xfId="0"/>
    <xf numFmtId="0" fontId="65" fillId="22" borderId="3" xfId="0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/>
    </xf>
    <xf numFmtId="0" fontId="65" fillId="22" borderId="17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right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 wrapText="1" shrinkToFit="1"/>
    </xf>
    <xf numFmtId="0" fontId="65" fillId="22" borderId="16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left" vertical="center" wrapText="1"/>
    </xf>
    <xf numFmtId="0" fontId="64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/>
    </xf>
    <xf numFmtId="0" fontId="65" fillId="22" borderId="0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2" fillId="0" borderId="0" xfId="0" applyFont="1" applyFill="1" applyAlignment="1">
      <alignment vertical="center"/>
    </xf>
    <xf numFmtId="0" fontId="67" fillId="29" borderId="3" xfId="0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62" fillId="29" borderId="18" xfId="0" applyFont="1" applyFill="1" applyBorder="1" applyAlignment="1">
      <alignment horizontal="center" vertical="center"/>
    </xf>
    <xf numFmtId="0" fontId="62" fillId="22" borderId="17" xfId="0" applyFont="1" applyFill="1" applyBorder="1" applyAlignment="1">
      <alignment horizontal="center" vertical="center" wrapText="1"/>
    </xf>
    <xf numFmtId="49" fontId="75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 wrapText="1"/>
    </xf>
    <xf numFmtId="49" fontId="76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0" applyFont="1" applyFill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center" vertical="center"/>
    </xf>
    <xf numFmtId="49" fontId="77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0" fontId="77" fillId="29" borderId="3" xfId="0" applyFont="1" applyFill="1" applyBorder="1" applyAlignment="1">
      <alignment horizontal="center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vertical="center"/>
    </xf>
    <xf numFmtId="0" fontId="77" fillId="29" borderId="3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vertical="center" wrapText="1"/>
    </xf>
    <xf numFmtId="0" fontId="77" fillId="29" borderId="15" xfId="0" applyFont="1" applyFill="1" applyBorder="1" applyAlignment="1">
      <alignment vertical="center"/>
    </xf>
    <xf numFmtId="0" fontId="77" fillId="29" borderId="3" xfId="0" applyFont="1" applyFill="1" applyBorder="1" applyAlignment="1">
      <alignment vertical="center"/>
    </xf>
    <xf numFmtId="0" fontId="76" fillId="29" borderId="3" xfId="0" applyFont="1" applyFill="1" applyBorder="1" applyAlignment="1">
      <alignment vertical="center" wrapText="1"/>
    </xf>
    <xf numFmtId="0" fontId="77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left"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left" vertical="center"/>
    </xf>
    <xf numFmtId="0" fontId="64" fillId="29" borderId="3" xfId="0" applyFont="1" applyFill="1" applyBorder="1" applyAlignment="1">
      <alignment horizontal="left" vertical="center" wrapText="1"/>
    </xf>
    <xf numFmtId="49" fontId="64" fillId="29" borderId="3" xfId="0" applyNumberFormat="1" applyFont="1" applyFill="1" applyBorder="1" applyAlignment="1">
      <alignment horizontal="center" vertical="center"/>
    </xf>
    <xf numFmtId="49" fontId="74" fillId="29" borderId="3" xfId="0" applyNumberFormat="1" applyFont="1" applyFill="1" applyBorder="1" applyAlignment="1">
      <alignment horizontal="center" vertical="center"/>
    </xf>
    <xf numFmtId="49" fontId="6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5" fillId="29" borderId="3" xfId="0" quotePrefix="1" applyFont="1" applyFill="1" applyBorder="1" applyAlignment="1">
      <alignment horizontal="center" vertical="center"/>
    </xf>
    <xf numFmtId="0" fontId="77" fillId="29" borderId="3" xfId="0" quotePrefix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left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vertical="center"/>
    </xf>
    <xf numFmtId="0" fontId="65" fillId="22" borderId="3" xfId="0" applyFont="1" applyFill="1" applyBorder="1" applyAlignment="1">
      <alignment horizontal="left"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center"/>
    </xf>
    <xf numFmtId="179" fontId="65" fillId="29" borderId="0" xfId="0" applyNumberFormat="1" applyFont="1" applyFill="1" applyBorder="1" applyAlignment="1">
      <alignment horizontal="center"/>
    </xf>
    <xf numFmtId="0" fontId="74" fillId="29" borderId="3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vertical="center"/>
    </xf>
    <xf numFmtId="0" fontId="64" fillId="29" borderId="3" xfId="0" applyFont="1" applyFill="1" applyBorder="1" applyAlignment="1">
      <alignment vertical="center" wrapText="1"/>
    </xf>
    <xf numFmtId="0" fontId="65" fillId="29" borderId="17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179" fontId="63" fillId="29" borderId="0" xfId="0" applyNumberFormat="1" applyFont="1" applyFill="1" applyBorder="1" applyAlignment="1">
      <alignment horizontal="center" vertical="center"/>
    </xf>
    <xf numFmtId="178" fontId="63" fillId="29" borderId="0" xfId="0" applyNumberFormat="1" applyFont="1" applyFill="1" applyBorder="1" applyAlignment="1">
      <alignment horizontal="center" vertical="center"/>
    </xf>
    <xf numFmtId="178" fontId="65" fillId="29" borderId="0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/>
    </xf>
    <xf numFmtId="179" fontId="63" fillId="29" borderId="3" xfId="0" applyNumberFormat="1" applyFont="1" applyFill="1" applyBorder="1" applyAlignment="1">
      <alignment horizontal="center" vertical="center" wrapText="1"/>
    </xf>
    <xf numFmtId="169" fontId="65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 wrapText="1"/>
    </xf>
    <xf numFmtId="0" fontId="82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center" vertical="center"/>
    </xf>
    <xf numFmtId="0" fontId="63" fillId="29" borderId="15" xfId="0" applyFont="1" applyFill="1" applyBorder="1" applyAlignment="1">
      <alignment horizontal="center" vertical="center" wrapText="1"/>
    </xf>
    <xf numFmtId="179" fontId="65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vertical="center" wrapText="1"/>
    </xf>
    <xf numFmtId="0" fontId="65" fillId="29" borderId="15" xfId="0" applyFont="1" applyFill="1" applyBorder="1" applyAlignment="1">
      <alignment vertical="center"/>
    </xf>
    <xf numFmtId="0" fontId="63" fillId="29" borderId="3" xfId="0" quotePrefix="1" applyFont="1" applyFill="1" applyBorder="1" applyAlignment="1">
      <alignment horizontal="center" vertical="center"/>
    </xf>
    <xf numFmtId="179" fontId="63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horizontal="left" vertical="center"/>
    </xf>
    <xf numFmtId="0" fontId="68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169" fontId="62" fillId="29" borderId="0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9" fontId="62" fillId="29" borderId="0" xfId="0" applyNumberFormat="1" applyFont="1" applyFill="1" applyBorder="1" applyAlignment="1">
      <alignment vertical="center"/>
    </xf>
    <xf numFmtId="177" fontId="62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0" fontId="65" fillId="29" borderId="15" xfId="353" applyFont="1" applyFill="1" applyBorder="1" applyAlignment="1">
      <alignment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/>
    </xf>
    <xf numFmtId="179" fontId="62" fillId="29" borderId="0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3" xfId="0" applyNumberFormat="1" applyFont="1" applyFill="1" applyBorder="1" applyAlignment="1">
      <alignment vertical="center" wrapText="1"/>
    </xf>
    <xf numFmtId="178" fontId="65" fillId="29" borderId="3" xfId="0" applyNumberFormat="1" applyFont="1" applyFill="1" applyBorder="1" applyAlignment="1">
      <alignment vertical="center" wrapText="1"/>
    </xf>
    <xf numFmtId="178" fontId="63" fillId="29" borderId="0" xfId="0" applyNumberFormat="1" applyFont="1" applyFill="1" applyBorder="1" applyAlignment="1">
      <alignment vertical="center"/>
    </xf>
    <xf numFmtId="0" fontId="74" fillId="29" borderId="3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0" fontId="74" fillId="29" borderId="3" xfId="0" applyFont="1" applyFill="1" applyBorder="1" applyAlignment="1">
      <alignment vertical="center" wrapText="1"/>
    </xf>
    <xf numFmtId="178" fontId="84" fillId="29" borderId="3" xfId="0" applyNumberFormat="1" applyFont="1" applyFill="1" applyBorder="1" applyAlignment="1">
      <alignment horizontal="center" vertical="center"/>
    </xf>
    <xf numFmtId="178" fontId="85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/>
    </xf>
    <xf numFmtId="178" fontId="87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vertical="center" wrapText="1"/>
    </xf>
    <xf numFmtId="0" fontId="79" fillId="29" borderId="3" xfId="0" applyFont="1" applyFill="1" applyBorder="1" applyAlignment="1">
      <alignment horizontal="left" vertical="center"/>
    </xf>
    <xf numFmtId="0" fontId="76" fillId="29" borderId="3" xfId="0" quotePrefix="1" applyFont="1" applyFill="1" applyBorder="1" applyAlignment="1">
      <alignment horizontal="center" vertical="center"/>
    </xf>
    <xf numFmtId="178" fontId="79" fillId="29" borderId="3" xfId="0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wrapText="1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178" fontId="88" fillId="29" borderId="3" xfId="0" applyNumberFormat="1" applyFont="1" applyFill="1" applyBorder="1" applyAlignment="1">
      <alignment horizontal="center" vertical="center" wrapText="1"/>
    </xf>
    <xf numFmtId="178" fontId="89" fillId="29" borderId="3" xfId="0" applyNumberFormat="1" applyFont="1" applyFill="1" applyBorder="1" applyAlignment="1">
      <alignment horizontal="center" vertic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0" applyFont="1" applyFill="1" applyBorder="1" applyAlignment="1">
      <alignment horizontal="left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center" vertical="center" wrapText="1"/>
    </xf>
    <xf numFmtId="170" fontId="88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0" fontId="66" fillId="29" borderId="13" xfId="0" applyFont="1" applyFill="1" applyBorder="1" applyAlignment="1">
      <alignment horizontal="center" wrapText="1"/>
    </xf>
    <xf numFmtId="0" fontId="77" fillId="0" borderId="3" xfId="0" applyFont="1" applyBorder="1" applyAlignment="1">
      <alignment wrapText="1"/>
    </xf>
    <xf numFmtId="0" fontId="77" fillId="0" borderId="3" xfId="0" applyFont="1" applyBorder="1"/>
    <xf numFmtId="0" fontId="77" fillId="29" borderId="3" xfId="0" applyFont="1" applyFill="1" applyBorder="1"/>
    <xf numFmtId="0" fontId="77" fillId="29" borderId="3" xfId="0" applyFont="1" applyFill="1" applyBorder="1" applyAlignment="1">
      <alignment wrapText="1"/>
    </xf>
    <xf numFmtId="0" fontId="74" fillId="0" borderId="3" xfId="0" applyFont="1" applyBorder="1" applyAlignment="1">
      <alignment horizontal="left" vertical="center" wrapText="1"/>
    </xf>
    <xf numFmtId="0" fontId="74" fillId="22" borderId="3" xfId="0" quotePrefix="1" applyFont="1" applyFill="1" applyBorder="1" applyAlignment="1">
      <alignment horizontal="center" vertical="center"/>
    </xf>
    <xf numFmtId="0" fontId="74" fillId="22" borderId="3" xfId="0" applyFont="1" applyFill="1" applyBorder="1" applyAlignment="1">
      <alignment horizontal="left" vertical="center" wrapText="1"/>
    </xf>
    <xf numFmtId="0" fontId="74" fillId="22" borderId="3" xfId="0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vertical="center"/>
    </xf>
    <xf numFmtId="178" fontId="87" fillId="29" borderId="3" xfId="0" applyNumberFormat="1" applyFont="1" applyFill="1" applyBorder="1" applyAlignment="1">
      <alignment vertical="center"/>
    </xf>
    <xf numFmtId="178" fontId="85" fillId="29" borderId="3" xfId="0" applyNumberFormat="1" applyFont="1" applyFill="1" applyBorder="1" applyAlignment="1">
      <alignment vertical="center"/>
    </xf>
    <xf numFmtId="0" fontId="63" fillId="29" borderId="3" xfId="0" applyFont="1" applyFill="1" applyBorder="1" applyAlignment="1">
      <alignment vertical="center" wrapText="1"/>
    </xf>
    <xf numFmtId="0" fontId="66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horizontal="left" vertical="center" wrapText="1"/>
    </xf>
    <xf numFmtId="178" fontId="75" fillId="29" borderId="3" xfId="0" applyNumberFormat="1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vertical="center" wrapText="1"/>
    </xf>
    <xf numFmtId="0" fontId="75" fillId="29" borderId="3" xfId="0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2" fillId="29" borderId="3" xfId="0" applyFont="1" applyFill="1" applyBorder="1" applyAlignment="1">
      <alignment horizontal="center" vertical="center" wrapText="1"/>
    </xf>
    <xf numFmtId="0" fontId="63" fillId="29" borderId="13" xfId="0" applyFont="1" applyFill="1" applyBorder="1" applyAlignment="1">
      <alignment horizontal="left"/>
    </xf>
    <xf numFmtId="0" fontId="63" fillId="29" borderId="0" xfId="0" applyFont="1" applyFill="1" applyBorder="1" applyAlignment="1">
      <alignment horizontal="left"/>
    </xf>
    <xf numFmtId="0" fontId="62" fillId="29" borderId="3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6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/>
    </xf>
    <xf numFmtId="0" fontId="65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3" fillId="29" borderId="15" xfId="0" applyFont="1" applyFill="1" applyBorder="1" applyAlignment="1">
      <alignment horizontal="center" vertical="center" wrapText="1"/>
    </xf>
    <xf numFmtId="0" fontId="63" fillId="29" borderId="16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170" fontId="65" fillId="29" borderId="13" xfId="0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73" fillId="0" borderId="0" xfId="0" applyFont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1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3" fillId="29" borderId="13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4" xfId="0" applyFont="1" applyFill="1" applyBorder="1" applyAlignment="1">
      <alignment horizontal="left" vertical="center" wrapText="1"/>
    </xf>
    <xf numFmtId="0" fontId="62" fillId="29" borderId="15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  <xf numFmtId="0" fontId="83" fillId="0" borderId="15" xfId="0" applyFont="1" applyBorder="1" applyAlignment="1">
      <alignment horizontal="left" wrapText="1"/>
    </xf>
    <xf numFmtId="0" fontId="83" fillId="0" borderId="14" xfId="0" applyFont="1" applyBorder="1" applyAlignment="1">
      <alignment horizontal="left" wrapText="1"/>
    </xf>
    <xf numFmtId="0" fontId="83" fillId="0" borderId="16" xfId="0" applyFont="1" applyBorder="1" applyAlignment="1">
      <alignment horizontal="left" wrapText="1"/>
    </xf>
    <xf numFmtId="0" fontId="83" fillId="29" borderId="15" xfId="0" applyFont="1" applyFill="1" applyBorder="1" applyAlignment="1">
      <alignment horizontal="left" wrapText="1"/>
    </xf>
    <xf numFmtId="0" fontId="83" fillId="29" borderId="14" xfId="0" applyFont="1" applyFill="1" applyBorder="1" applyAlignment="1">
      <alignment horizontal="left" wrapText="1"/>
    </xf>
    <xf numFmtId="0" fontId="83" fillId="29" borderId="16" xfId="0" applyFont="1" applyFill="1" applyBorder="1" applyAlignment="1">
      <alignment horizontal="left" wrapText="1"/>
    </xf>
    <xf numFmtId="0" fontId="83" fillId="29" borderId="15" xfId="0" applyFont="1" applyFill="1" applyBorder="1" applyAlignment="1">
      <alignment horizontal="left"/>
    </xf>
    <xf numFmtId="0" fontId="83" fillId="29" borderId="14" xfId="0" applyFont="1" applyFill="1" applyBorder="1" applyAlignment="1">
      <alignment horizontal="left"/>
    </xf>
    <xf numFmtId="0" fontId="83" fillId="29" borderId="16" xfId="0" applyFont="1" applyFill="1" applyBorder="1" applyAlignment="1">
      <alignment horizontal="left"/>
    </xf>
    <xf numFmtId="0" fontId="83" fillId="0" borderId="15" xfId="0" applyFont="1" applyBorder="1" applyAlignment="1">
      <alignment horizontal="left"/>
    </xf>
    <xf numFmtId="0" fontId="83" fillId="0" borderId="14" xfId="0" applyFont="1" applyBorder="1" applyAlignment="1">
      <alignment horizontal="left"/>
    </xf>
    <xf numFmtId="0" fontId="83" fillId="0" borderId="16" xfId="0" applyFont="1" applyBorder="1" applyAlignment="1">
      <alignment horizontal="left"/>
    </xf>
    <xf numFmtId="0" fontId="62" fillId="29" borderId="16" xfId="0" applyFont="1" applyFill="1" applyBorder="1" applyAlignment="1">
      <alignment horizontal="left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251"/>
  <sheetViews>
    <sheetView view="pageBreakPreview" topLeftCell="A73" zoomScale="60" zoomScaleNormal="75" workbookViewId="0">
      <selection activeCell="F61" sqref="F61"/>
    </sheetView>
  </sheetViews>
  <sheetFormatPr defaultRowHeight="20.25"/>
  <cols>
    <col min="1" max="1" width="65.42578125" style="144" customWidth="1"/>
    <col min="2" max="2" width="17.28515625" style="49" customWidth="1"/>
    <col min="3" max="4" width="18" style="49" customWidth="1"/>
    <col min="5" max="5" width="18.7109375" style="144" customWidth="1"/>
    <col min="6" max="6" width="19" style="144" customWidth="1"/>
    <col min="7" max="7" width="18.7109375" style="144" customWidth="1"/>
    <col min="8" max="8" width="19.7109375" style="144" customWidth="1"/>
    <col min="9" max="9" width="10" style="144" customWidth="1"/>
    <col min="10" max="10" width="11.85546875" style="144" customWidth="1"/>
    <col min="11" max="11" width="12.140625" style="144" customWidth="1"/>
    <col min="12" max="12" width="13.85546875" style="144" customWidth="1"/>
    <col min="13" max="13" width="17" style="144" customWidth="1"/>
    <col min="14" max="15" width="11.7109375" style="144" customWidth="1"/>
    <col min="16" max="16" width="9.140625" style="144"/>
    <col min="17" max="17" width="11.42578125" style="144" bestFit="1" customWidth="1"/>
    <col min="18" max="19" width="9.140625" style="144"/>
    <col min="20" max="20" width="11.140625" style="144" bestFit="1" customWidth="1"/>
    <col min="21" max="16384" width="9.140625" style="144"/>
  </cols>
  <sheetData>
    <row r="1" spans="1:16" ht="88.5" customHeight="1">
      <c r="A1" s="239" t="s">
        <v>475</v>
      </c>
      <c r="B1" s="238"/>
      <c r="C1" s="238"/>
      <c r="D1" s="238"/>
      <c r="E1" s="238"/>
      <c r="F1" s="238"/>
      <c r="G1" s="238"/>
      <c r="H1" s="238"/>
    </row>
    <row r="2" spans="1:16" ht="30" customHeight="1">
      <c r="A2" s="238" t="s">
        <v>18</v>
      </c>
      <c r="B2" s="238"/>
      <c r="C2" s="238"/>
      <c r="D2" s="238"/>
      <c r="E2" s="238"/>
      <c r="F2" s="238"/>
      <c r="G2" s="238"/>
      <c r="H2" s="238"/>
    </row>
    <row r="3" spans="1:16" ht="23.25" customHeight="1">
      <c r="B3" s="145"/>
      <c r="C3" s="136"/>
      <c r="D3" s="145"/>
      <c r="E3" s="145"/>
      <c r="F3" s="145"/>
      <c r="G3" s="145"/>
      <c r="H3" s="146" t="s">
        <v>57</v>
      </c>
    </row>
    <row r="4" spans="1:16" ht="48.75" customHeight="1">
      <c r="A4" s="236" t="s">
        <v>23</v>
      </c>
      <c r="B4" s="233" t="s">
        <v>5</v>
      </c>
      <c r="C4" s="233" t="s">
        <v>122</v>
      </c>
      <c r="D4" s="233"/>
      <c r="E4" s="236" t="s">
        <v>384</v>
      </c>
      <c r="F4" s="236"/>
      <c r="G4" s="236"/>
      <c r="H4" s="236"/>
    </row>
    <row r="5" spans="1:16" ht="47.25" customHeight="1">
      <c r="A5" s="236"/>
      <c r="B5" s="233"/>
      <c r="C5" s="187" t="s">
        <v>308</v>
      </c>
      <c r="D5" s="187" t="s">
        <v>307</v>
      </c>
      <c r="E5" s="5" t="s">
        <v>108</v>
      </c>
      <c r="F5" s="5" t="s">
        <v>109</v>
      </c>
      <c r="G5" s="5" t="s">
        <v>110</v>
      </c>
      <c r="H5" s="5" t="s">
        <v>111</v>
      </c>
    </row>
    <row r="6" spans="1:16" ht="29.25" customHeight="1">
      <c r="A6" s="7">
        <v>1</v>
      </c>
      <c r="B6" s="187">
        <v>2</v>
      </c>
      <c r="C6" s="187">
        <v>3</v>
      </c>
      <c r="D6" s="187">
        <v>5</v>
      </c>
      <c r="E6" s="187">
        <v>7</v>
      </c>
      <c r="F6" s="187">
        <v>8</v>
      </c>
      <c r="G6" s="187">
        <v>9</v>
      </c>
      <c r="H6" s="187">
        <v>10</v>
      </c>
    </row>
    <row r="7" spans="1:16" ht="33" customHeight="1">
      <c r="A7" s="240" t="s">
        <v>99</v>
      </c>
      <c r="B7" s="240"/>
      <c r="C7" s="240"/>
      <c r="D7" s="240"/>
      <c r="E7" s="240"/>
      <c r="F7" s="240"/>
      <c r="G7" s="240"/>
      <c r="H7" s="240"/>
      <c r="L7" s="33"/>
      <c r="M7" s="33"/>
      <c r="N7" s="163"/>
      <c r="O7" s="163"/>
      <c r="P7" s="163"/>
    </row>
    <row r="8" spans="1:16" ht="48.75" customHeight="1">
      <c r="A8" s="196" t="s">
        <v>123</v>
      </c>
      <c r="B8" s="6">
        <v>1000</v>
      </c>
      <c r="C8" s="2">
        <v>33642.400000000001</v>
      </c>
      <c r="D8" s="2">
        <v>43181.1</v>
      </c>
      <c r="E8" s="2">
        <v>38601.300000000003</v>
      </c>
      <c r="F8" s="2">
        <f>D8</f>
        <v>43181.1</v>
      </c>
      <c r="G8" s="2">
        <f>F8-E8</f>
        <v>4579.7999999999956</v>
      </c>
      <c r="H8" s="2">
        <f>(F8/E8)*100</f>
        <v>111.86436726224245</v>
      </c>
      <c r="L8" s="33"/>
      <c r="M8" s="33"/>
      <c r="N8" s="41"/>
      <c r="O8" s="41"/>
      <c r="P8" s="41"/>
    </row>
    <row r="9" spans="1:16" ht="47.25" customHeight="1">
      <c r="A9" s="196" t="s">
        <v>67</v>
      </c>
      <c r="B9" s="6">
        <v>1010</v>
      </c>
      <c r="C9" s="2">
        <f>SUM(C10:C14)</f>
        <v>-45999</v>
      </c>
      <c r="D9" s="2">
        <f>SUM(D10:D14)</f>
        <v>-52025.4</v>
      </c>
      <c r="E9" s="2">
        <f>SUM(E10:E14)</f>
        <v>-42153.1</v>
      </c>
      <c r="F9" s="2">
        <f t="shared" ref="F9:F43" si="0">D9</f>
        <v>-52025.4</v>
      </c>
      <c r="G9" s="2">
        <f t="shared" ref="G9:G43" si="1">F9-E9</f>
        <v>-9872.3000000000029</v>
      </c>
      <c r="H9" s="2">
        <f t="shared" ref="H9:H43" si="2">(F9/E9)*100</f>
        <v>123.42010433396358</v>
      </c>
      <c r="L9" s="33"/>
      <c r="M9" s="33"/>
      <c r="N9" s="125"/>
      <c r="O9" s="125"/>
      <c r="P9" s="125"/>
    </row>
    <row r="10" spans="1:16" ht="30" customHeight="1">
      <c r="A10" s="197" t="s">
        <v>68</v>
      </c>
      <c r="B10" s="7">
        <v>1011</v>
      </c>
      <c r="C10" s="8">
        <v>-8638.7999999999993</v>
      </c>
      <c r="D10" s="8">
        <v>-6832.7</v>
      </c>
      <c r="E10" s="8">
        <v>-6069.3</v>
      </c>
      <c r="F10" s="8">
        <f t="shared" si="0"/>
        <v>-6832.7</v>
      </c>
      <c r="G10" s="8">
        <f t="shared" si="1"/>
        <v>-763.39999999999964</v>
      </c>
      <c r="H10" s="8">
        <f t="shared" si="2"/>
        <v>112.57805677755259</v>
      </c>
      <c r="L10" s="33"/>
      <c r="M10" s="115"/>
      <c r="N10" s="126"/>
      <c r="O10" s="126"/>
      <c r="P10" s="126"/>
    </row>
    <row r="11" spans="1:16" ht="28.5" customHeight="1">
      <c r="A11" s="197" t="s">
        <v>2</v>
      </c>
      <c r="B11" s="7">
        <v>1012</v>
      </c>
      <c r="C11" s="8">
        <v>-27262.2</v>
      </c>
      <c r="D11" s="8">
        <v>-32500.9</v>
      </c>
      <c r="E11" s="8">
        <v>-24719.1</v>
      </c>
      <c r="F11" s="8">
        <f t="shared" si="0"/>
        <v>-32500.9</v>
      </c>
      <c r="G11" s="8">
        <f t="shared" si="1"/>
        <v>-7781.8000000000029</v>
      </c>
      <c r="H11" s="8">
        <f t="shared" si="2"/>
        <v>131.4809196127691</v>
      </c>
      <c r="L11" s="33"/>
      <c r="M11" s="115"/>
      <c r="N11" s="127"/>
      <c r="O11" s="127"/>
      <c r="P11" s="127"/>
    </row>
    <row r="12" spans="1:16" ht="29.25" customHeight="1">
      <c r="A12" s="197" t="s">
        <v>3</v>
      </c>
      <c r="B12" s="7">
        <v>1013</v>
      </c>
      <c r="C12" s="8">
        <v>-5764.6</v>
      </c>
      <c r="D12" s="8">
        <v>-6724.6</v>
      </c>
      <c r="E12" s="8">
        <v>-5314.8</v>
      </c>
      <c r="F12" s="8">
        <f t="shared" si="0"/>
        <v>-6724.6</v>
      </c>
      <c r="G12" s="8">
        <f t="shared" si="1"/>
        <v>-1409.8000000000002</v>
      </c>
      <c r="H12" s="8">
        <f t="shared" si="2"/>
        <v>126.52592759840446</v>
      </c>
      <c r="L12" s="33"/>
      <c r="M12" s="115"/>
      <c r="N12" s="127"/>
      <c r="O12" s="127"/>
      <c r="P12" s="127"/>
    </row>
    <row r="13" spans="1:16" ht="29.25" customHeight="1">
      <c r="A13" s="197" t="s">
        <v>4</v>
      </c>
      <c r="B13" s="7">
        <v>1014</v>
      </c>
      <c r="C13" s="8">
        <v>-892.1</v>
      </c>
      <c r="D13" s="8">
        <v>-765.4</v>
      </c>
      <c r="E13" s="8"/>
      <c r="F13" s="8">
        <f t="shared" si="0"/>
        <v>-765.4</v>
      </c>
      <c r="G13" s="8">
        <f t="shared" si="1"/>
        <v>-765.4</v>
      </c>
      <c r="H13" s="194" t="e">
        <f t="shared" si="2"/>
        <v>#DIV/0!</v>
      </c>
      <c r="L13" s="33"/>
      <c r="M13" s="115"/>
      <c r="N13" s="127"/>
      <c r="O13" s="127"/>
      <c r="P13" s="127"/>
    </row>
    <row r="14" spans="1:16" ht="30" customHeight="1">
      <c r="A14" s="197" t="s">
        <v>50</v>
      </c>
      <c r="B14" s="7">
        <v>1015</v>
      </c>
      <c r="C14" s="8">
        <v>-3441.3</v>
      </c>
      <c r="D14" s="8">
        <v>-5201.8</v>
      </c>
      <c r="E14" s="8">
        <v>-6049.9</v>
      </c>
      <c r="F14" s="8">
        <f t="shared" si="0"/>
        <v>-5201.8</v>
      </c>
      <c r="G14" s="8">
        <f t="shared" si="1"/>
        <v>848.09999999999945</v>
      </c>
      <c r="H14" s="8">
        <f t="shared" si="2"/>
        <v>85.981586472503693</v>
      </c>
      <c r="L14" s="33"/>
      <c r="M14" s="115"/>
      <c r="N14" s="127"/>
      <c r="O14" s="127"/>
      <c r="P14" s="127"/>
    </row>
    <row r="15" spans="1:16" ht="28.5" customHeight="1">
      <c r="A15" s="196" t="s">
        <v>25</v>
      </c>
      <c r="B15" s="7">
        <v>1020</v>
      </c>
      <c r="C15" s="2">
        <f>SUM(C8:C9)</f>
        <v>-12356.599999999999</v>
      </c>
      <c r="D15" s="2">
        <f>SUM(D8:D9)</f>
        <v>-8844.3000000000029</v>
      </c>
      <c r="E15" s="2">
        <f>SUM(E8:E9)</f>
        <v>-3551.7999999999956</v>
      </c>
      <c r="F15" s="2">
        <f t="shared" si="0"/>
        <v>-8844.3000000000029</v>
      </c>
      <c r="G15" s="2">
        <f t="shared" si="1"/>
        <v>-5292.5000000000073</v>
      </c>
      <c r="H15" s="2">
        <f t="shared" si="2"/>
        <v>249.00895320682511</v>
      </c>
    </row>
    <row r="16" spans="1:16" ht="27.75" customHeight="1">
      <c r="A16" s="196" t="s">
        <v>89</v>
      </c>
      <c r="B16" s="6">
        <v>1020</v>
      </c>
      <c r="C16" s="2">
        <f>SUM(C17:C21)</f>
        <v>-2856.8</v>
      </c>
      <c r="D16" s="2">
        <f>SUM(D17:D21)</f>
        <v>-3684.3</v>
      </c>
      <c r="E16" s="2">
        <f>SUM(E17:E21)</f>
        <v>-2341</v>
      </c>
      <c r="F16" s="2">
        <f t="shared" si="0"/>
        <v>-3684.3</v>
      </c>
      <c r="G16" s="2">
        <f t="shared" si="1"/>
        <v>-1343.3000000000002</v>
      </c>
      <c r="H16" s="2">
        <f t="shared" si="2"/>
        <v>157.38146091413927</v>
      </c>
    </row>
    <row r="17" spans="1:8" ht="27.75" customHeight="1">
      <c r="A17" s="197" t="s">
        <v>68</v>
      </c>
      <c r="B17" s="7">
        <v>1021</v>
      </c>
      <c r="C17" s="8">
        <v>-15.2</v>
      </c>
      <c r="D17" s="8">
        <v>-25.1</v>
      </c>
      <c r="E17" s="8">
        <v>-26</v>
      </c>
      <c r="F17" s="8">
        <f t="shared" si="0"/>
        <v>-25.1</v>
      </c>
      <c r="G17" s="8">
        <f t="shared" si="1"/>
        <v>0.89999999999999858</v>
      </c>
      <c r="H17" s="8">
        <f t="shared" si="2"/>
        <v>96.538461538461533</v>
      </c>
    </row>
    <row r="18" spans="1:8" ht="27.75" customHeight="1">
      <c r="A18" s="197" t="s">
        <v>2</v>
      </c>
      <c r="B18" s="7">
        <v>1022</v>
      </c>
      <c r="C18" s="8">
        <v>-1956.4</v>
      </c>
      <c r="D18" s="8">
        <v>-2247.1999999999998</v>
      </c>
      <c r="E18" s="8">
        <v>-1772</v>
      </c>
      <c r="F18" s="8">
        <f t="shared" si="0"/>
        <v>-2247.1999999999998</v>
      </c>
      <c r="G18" s="8">
        <f t="shared" si="1"/>
        <v>-475.19999999999982</v>
      </c>
      <c r="H18" s="8">
        <f t="shared" si="2"/>
        <v>126.81715575620767</v>
      </c>
    </row>
    <row r="19" spans="1:8" ht="27.75" customHeight="1">
      <c r="A19" s="197" t="s">
        <v>3</v>
      </c>
      <c r="B19" s="7">
        <v>1023</v>
      </c>
      <c r="C19" s="8">
        <v>-433.7</v>
      </c>
      <c r="D19" s="8">
        <v>-561.70000000000005</v>
      </c>
      <c r="E19" s="8">
        <v>-381</v>
      </c>
      <c r="F19" s="8">
        <f t="shared" si="0"/>
        <v>-561.70000000000005</v>
      </c>
      <c r="G19" s="8">
        <f t="shared" si="1"/>
        <v>-180.70000000000005</v>
      </c>
      <c r="H19" s="8">
        <f t="shared" si="2"/>
        <v>147.42782152230973</v>
      </c>
    </row>
    <row r="20" spans="1:8" ht="27.75" customHeight="1">
      <c r="A20" s="197" t="s">
        <v>4</v>
      </c>
      <c r="B20" s="7">
        <v>1024</v>
      </c>
      <c r="C20" s="8">
        <v>-346.3</v>
      </c>
      <c r="D20" s="8">
        <v>-655.4</v>
      </c>
      <c r="E20" s="8"/>
      <c r="F20" s="8">
        <f t="shared" si="0"/>
        <v>-655.4</v>
      </c>
      <c r="G20" s="8">
        <f t="shared" si="1"/>
        <v>-655.4</v>
      </c>
      <c r="H20" s="194" t="e">
        <f t="shared" si="2"/>
        <v>#DIV/0!</v>
      </c>
    </row>
    <row r="21" spans="1:8" ht="27.75" customHeight="1">
      <c r="A21" s="197" t="s">
        <v>69</v>
      </c>
      <c r="B21" s="7">
        <v>1025</v>
      </c>
      <c r="C21" s="8">
        <v>-105.2</v>
      </c>
      <c r="D21" s="8">
        <v>-194.9</v>
      </c>
      <c r="E21" s="8">
        <v>-162</v>
      </c>
      <c r="F21" s="8">
        <f t="shared" si="0"/>
        <v>-194.9</v>
      </c>
      <c r="G21" s="8">
        <f t="shared" si="1"/>
        <v>-32.900000000000006</v>
      </c>
      <c r="H21" s="8">
        <f t="shared" si="2"/>
        <v>120.30864197530863</v>
      </c>
    </row>
    <row r="22" spans="1:8" ht="38.25" customHeight="1">
      <c r="A22" s="196" t="s">
        <v>35</v>
      </c>
      <c r="B22" s="6">
        <v>1040</v>
      </c>
      <c r="C22" s="2">
        <f>SUM(C23:C24)</f>
        <v>11165.5</v>
      </c>
      <c r="D22" s="2">
        <f>SUM(D23:D24)</f>
        <v>8527.1</v>
      </c>
      <c r="E22" s="2">
        <f>SUM(E23:E24)</f>
        <v>6068.3</v>
      </c>
      <c r="F22" s="2">
        <f t="shared" si="0"/>
        <v>8527.1</v>
      </c>
      <c r="G22" s="2">
        <f t="shared" si="1"/>
        <v>2458.8000000000002</v>
      </c>
      <c r="H22" s="2">
        <f t="shared" si="2"/>
        <v>140.51876143236163</v>
      </c>
    </row>
    <row r="23" spans="1:8" ht="30.75" customHeight="1">
      <c r="A23" s="197" t="s">
        <v>36</v>
      </c>
      <c r="B23" s="7">
        <v>1041</v>
      </c>
      <c r="C23" s="8"/>
      <c r="D23" s="8"/>
      <c r="E23" s="8"/>
      <c r="F23" s="2">
        <f t="shared" si="0"/>
        <v>0</v>
      </c>
      <c r="G23" s="8">
        <f t="shared" si="1"/>
        <v>0</v>
      </c>
      <c r="H23" s="194" t="e">
        <f t="shared" si="2"/>
        <v>#DIV/0!</v>
      </c>
    </row>
    <row r="24" spans="1:8" ht="27.75" customHeight="1">
      <c r="A24" s="197" t="s">
        <v>37</v>
      </c>
      <c r="B24" s="7">
        <v>1042</v>
      </c>
      <c r="C24" s="8">
        <v>11165.5</v>
      </c>
      <c r="D24" s="8">
        <v>8527.1</v>
      </c>
      <c r="E24" s="8">
        <v>6068.3</v>
      </c>
      <c r="F24" s="2">
        <f t="shared" si="0"/>
        <v>8527.1</v>
      </c>
      <c r="G24" s="8">
        <f t="shared" si="1"/>
        <v>2458.8000000000002</v>
      </c>
      <c r="H24" s="8">
        <f t="shared" si="2"/>
        <v>140.51876143236163</v>
      </c>
    </row>
    <row r="25" spans="1:8" ht="37.5" customHeight="1">
      <c r="A25" s="196" t="s">
        <v>12</v>
      </c>
      <c r="B25" s="6">
        <v>1030</v>
      </c>
      <c r="C25" s="2">
        <f>SUM(C26:C30)</f>
        <v>-299.39999999999998</v>
      </c>
      <c r="D25" s="2">
        <f>SUM(D26:D30)</f>
        <v>-542.40000000000009</v>
      </c>
      <c r="E25" s="2">
        <f>SUM(E26:E30)</f>
        <v>-186.7</v>
      </c>
      <c r="F25" s="2">
        <f t="shared" si="0"/>
        <v>-542.40000000000009</v>
      </c>
      <c r="G25" s="2">
        <f t="shared" si="1"/>
        <v>-355.7000000000001</v>
      </c>
      <c r="H25" s="2">
        <f t="shared" si="2"/>
        <v>290.51955008034287</v>
      </c>
    </row>
    <row r="26" spans="1:8" ht="27.75" customHeight="1">
      <c r="A26" s="197" t="s">
        <v>68</v>
      </c>
      <c r="B26" s="7">
        <v>1031</v>
      </c>
      <c r="C26" s="8" t="s">
        <v>26</v>
      </c>
      <c r="D26" s="8" t="s">
        <v>26</v>
      </c>
      <c r="E26" s="8" t="s">
        <v>26</v>
      </c>
      <c r="F26" s="8" t="str">
        <f t="shared" si="0"/>
        <v>(    )</v>
      </c>
      <c r="G26" s="194" t="e">
        <f t="shared" si="1"/>
        <v>#VALUE!</v>
      </c>
      <c r="H26" s="194" t="e">
        <f t="shared" si="2"/>
        <v>#VALUE!</v>
      </c>
    </row>
    <row r="27" spans="1:8" ht="27.75" customHeight="1">
      <c r="A27" s="197" t="s">
        <v>2</v>
      </c>
      <c r="B27" s="7">
        <v>1032</v>
      </c>
      <c r="C27" s="8">
        <v>-157.6</v>
      </c>
      <c r="D27" s="8">
        <v>-360.1</v>
      </c>
      <c r="E27" s="8" t="s">
        <v>26</v>
      </c>
      <c r="F27" s="8">
        <f t="shared" si="0"/>
        <v>-360.1</v>
      </c>
      <c r="G27" s="194" t="e">
        <f t="shared" si="1"/>
        <v>#VALUE!</v>
      </c>
      <c r="H27" s="194" t="e">
        <f t="shared" si="2"/>
        <v>#VALUE!</v>
      </c>
    </row>
    <row r="28" spans="1:8" ht="27.75" customHeight="1">
      <c r="A28" s="197" t="s">
        <v>3</v>
      </c>
      <c r="B28" s="7">
        <v>1033</v>
      </c>
      <c r="C28" s="8">
        <v>-55.8</v>
      </c>
      <c r="D28" s="8">
        <v>-106.8</v>
      </c>
      <c r="E28" s="8" t="s">
        <v>26</v>
      </c>
      <c r="F28" s="8">
        <f t="shared" si="0"/>
        <v>-106.8</v>
      </c>
      <c r="G28" s="194" t="e">
        <f t="shared" si="1"/>
        <v>#VALUE!</v>
      </c>
      <c r="H28" s="194" t="e">
        <f t="shared" si="2"/>
        <v>#VALUE!</v>
      </c>
    </row>
    <row r="29" spans="1:8" ht="27.75" customHeight="1">
      <c r="A29" s="197" t="s">
        <v>4</v>
      </c>
      <c r="B29" s="7">
        <v>1034</v>
      </c>
      <c r="C29" s="8"/>
      <c r="D29" s="8"/>
      <c r="E29" s="8" t="s">
        <v>26</v>
      </c>
      <c r="F29" s="8">
        <f t="shared" si="0"/>
        <v>0</v>
      </c>
      <c r="G29" s="194" t="e">
        <f t="shared" si="1"/>
        <v>#VALUE!</v>
      </c>
      <c r="H29" s="194" t="e">
        <f t="shared" si="2"/>
        <v>#VALUE!</v>
      </c>
    </row>
    <row r="30" spans="1:8" ht="27.75" customHeight="1">
      <c r="A30" s="197" t="s">
        <v>70</v>
      </c>
      <c r="B30" s="7">
        <v>1035</v>
      </c>
      <c r="C30" s="8">
        <v>-86</v>
      </c>
      <c r="D30" s="8">
        <v>-75.5</v>
      </c>
      <c r="E30" s="8">
        <v>-186.7</v>
      </c>
      <c r="F30" s="8">
        <f t="shared" si="0"/>
        <v>-75.5</v>
      </c>
      <c r="G30" s="8">
        <f t="shared" si="1"/>
        <v>111.19999999999999</v>
      </c>
      <c r="H30" s="8">
        <f t="shared" si="2"/>
        <v>40.439207284413499</v>
      </c>
    </row>
    <row r="31" spans="1:8" ht="47.25" customHeight="1">
      <c r="A31" s="196" t="s">
        <v>1</v>
      </c>
      <c r="B31" s="7">
        <v>1100</v>
      </c>
      <c r="C31" s="2">
        <f>SUM(C15,C16,C22,C25)</f>
        <v>-4347.2999999999975</v>
      </c>
      <c r="D31" s="2">
        <f>SUM(D15,D16,D22,D25)</f>
        <v>-4543.9000000000015</v>
      </c>
      <c r="E31" s="2">
        <f>SUM(E15,E16,E22,E25)</f>
        <v>-11.199999999995441</v>
      </c>
      <c r="F31" s="2">
        <f t="shared" si="0"/>
        <v>-4543.9000000000015</v>
      </c>
      <c r="G31" s="2">
        <f t="shared" si="1"/>
        <v>-4532.7000000000062</v>
      </c>
      <c r="H31" s="2">
        <f t="shared" si="2"/>
        <v>40570.535714302241</v>
      </c>
    </row>
    <row r="32" spans="1:8" ht="27.75" customHeight="1">
      <c r="A32" s="196" t="s">
        <v>124</v>
      </c>
      <c r="B32" s="6">
        <v>1130</v>
      </c>
      <c r="C32" s="2">
        <v>18.399999999999999</v>
      </c>
      <c r="D32" s="2">
        <v>35.700000000000003</v>
      </c>
      <c r="E32" s="2">
        <v>5.6</v>
      </c>
      <c r="F32" s="2">
        <f t="shared" si="0"/>
        <v>35.700000000000003</v>
      </c>
      <c r="G32" s="2">
        <f t="shared" si="1"/>
        <v>30.1</v>
      </c>
      <c r="H32" s="2">
        <f t="shared" si="2"/>
        <v>637.50000000000011</v>
      </c>
    </row>
    <row r="33" spans="1:17" ht="27.75" customHeight="1">
      <c r="A33" s="198" t="s">
        <v>125</v>
      </c>
      <c r="B33" s="6">
        <v>1140</v>
      </c>
      <c r="C33" s="2" t="s">
        <v>26</v>
      </c>
      <c r="D33" s="2" t="s">
        <v>26</v>
      </c>
      <c r="E33" s="8" t="s">
        <v>26</v>
      </c>
      <c r="F33" s="2" t="str">
        <f t="shared" si="0"/>
        <v>(    )</v>
      </c>
      <c r="G33" s="195" t="e">
        <f t="shared" si="1"/>
        <v>#VALUE!</v>
      </c>
      <c r="H33" s="195" t="e">
        <f t="shared" si="2"/>
        <v>#VALUE!</v>
      </c>
    </row>
    <row r="34" spans="1:17" ht="27.75" customHeight="1">
      <c r="A34" s="196" t="s">
        <v>126</v>
      </c>
      <c r="B34" s="6">
        <v>1150</v>
      </c>
      <c r="C34" s="2">
        <v>1134.5</v>
      </c>
      <c r="D34" s="2">
        <v>1412.8</v>
      </c>
      <c r="E34" s="2">
        <v>0</v>
      </c>
      <c r="F34" s="2">
        <f t="shared" si="0"/>
        <v>1412.8</v>
      </c>
      <c r="G34" s="2">
        <f t="shared" si="1"/>
        <v>1412.8</v>
      </c>
      <c r="H34" s="195" t="e">
        <f t="shared" si="2"/>
        <v>#DIV/0!</v>
      </c>
    </row>
    <row r="35" spans="1:17" ht="27.75" customHeight="1">
      <c r="A35" s="196" t="s">
        <v>127</v>
      </c>
      <c r="B35" s="6">
        <v>1160</v>
      </c>
      <c r="C35" s="2" t="s">
        <v>26</v>
      </c>
      <c r="D35" s="2" t="s">
        <v>26</v>
      </c>
      <c r="E35" s="8" t="s">
        <v>26</v>
      </c>
      <c r="F35" s="2" t="str">
        <f t="shared" si="0"/>
        <v>(    )</v>
      </c>
      <c r="G35" s="195" t="e">
        <f t="shared" si="1"/>
        <v>#VALUE!</v>
      </c>
      <c r="H35" s="195" t="e">
        <f t="shared" si="2"/>
        <v>#VALUE!</v>
      </c>
    </row>
    <row r="36" spans="1:17" ht="28.5" customHeight="1">
      <c r="A36" s="196" t="s">
        <v>15</v>
      </c>
      <c r="B36" s="6">
        <v>1170</v>
      </c>
      <c r="C36" s="2">
        <f>SUM(C31, C32:C35)</f>
        <v>-3194.3999999999978</v>
      </c>
      <c r="D36" s="2">
        <f>SUM(D31, D32:D35)</f>
        <v>-3095.4000000000015</v>
      </c>
      <c r="E36" s="2">
        <f>SUM(E31, E32:E35)</f>
        <v>-5.5999999999954415</v>
      </c>
      <c r="F36" s="2">
        <f t="shared" si="0"/>
        <v>-3095.4000000000015</v>
      </c>
      <c r="G36" s="2">
        <f t="shared" si="1"/>
        <v>-3089.8000000000061</v>
      </c>
      <c r="H36" s="2">
        <f t="shared" si="2"/>
        <v>55275.000000045024</v>
      </c>
    </row>
    <row r="37" spans="1:17" ht="27.75" customHeight="1">
      <c r="A37" s="198" t="s">
        <v>28</v>
      </c>
      <c r="B37" s="7">
        <v>1180</v>
      </c>
      <c r="C37" s="8" t="s">
        <v>26</v>
      </c>
      <c r="D37" s="8" t="s">
        <v>26</v>
      </c>
      <c r="E37" s="8" t="s">
        <v>26</v>
      </c>
      <c r="F37" s="2" t="str">
        <f t="shared" si="0"/>
        <v>(    )</v>
      </c>
      <c r="G37" s="194" t="e">
        <f t="shared" si="1"/>
        <v>#VALUE!</v>
      </c>
      <c r="H37" s="194" t="e">
        <f t="shared" si="2"/>
        <v>#VALUE!</v>
      </c>
    </row>
    <row r="38" spans="1:17" ht="27" customHeight="1">
      <c r="A38" s="198" t="s">
        <v>29</v>
      </c>
      <c r="B38" s="7">
        <v>1181</v>
      </c>
      <c r="C38" s="8"/>
      <c r="D38" s="8"/>
      <c r="E38" s="8"/>
      <c r="F38" s="2">
        <f t="shared" si="0"/>
        <v>0</v>
      </c>
      <c r="G38" s="195">
        <f t="shared" si="1"/>
        <v>0</v>
      </c>
      <c r="H38" s="194" t="e">
        <f t="shared" si="2"/>
        <v>#DIV/0!</v>
      </c>
    </row>
    <row r="39" spans="1:17" ht="28.5" customHeight="1">
      <c r="A39" s="196" t="s">
        <v>46</v>
      </c>
      <c r="B39" s="7">
        <v>1200</v>
      </c>
      <c r="C39" s="2">
        <f>SUM(C36:C38)</f>
        <v>-3194.3999999999978</v>
      </c>
      <c r="D39" s="2">
        <f>SUM(D36:D38)</f>
        <v>-3095.4000000000015</v>
      </c>
      <c r="E39" s="2">
        <f>SUM(E36:E38)</f>
        <v>-5.5999999999954415</v>
      </c>
      <c r="F39" s="2">
        <f t="shared" si="0"/>
        <v>-3095.4000000000015</v>
      </c>
      <c r="G39" s="2">
        <f t="shared" si="1"/>
        <v>-3089.8000000000061</v>
      </c>
      <c r="H39" s="2">
        <f t="shared" si="2"/>
        <v>55275.000000045024</v>
      </c>
    </row>
    <row r="40" spans="1:17" ht="35.25" customHeight="1">
      <c r="A40" s="198" t="s">
        <v>47</v>
      </c>
      <c r="B40" s="7">
        <v>1201</v>
      </c>
      <c r="C40" s="8"/>
      <c r="D40" s="8"/>
      <c r="E40" s="8"/>
      <c r="F40" s="2">
        <f t="shared" si="0"/>
        <v>0</v>
      </c>
      <c r="G40" s="8">
        <f t="shared" si="1"/>
        <v>0</v>
      </c>
      <c r="H40" s="194" t="e">
        <f t="shared" si="2"/>
        <v>#DIV/0!</v>
      </c>
    </row>
    <row r="41" spans="1:17" ht="33" customHeight="1">
      <c r="A41" s="198" t="s">
        <v>48</v>
      </c>
      <c r="B41" s="7">
        <v>1202</v>
      </c>
      <c r="C41" s="8" t="s">
        <v>26</v>
      </c>
      <c r="D41" s="8" t="s">
        <v>26</v>
      </c>
      <c r="E41" s="8" t="s">
        <v>26</v>
      </c>
      <c r="F41" s="2" t="str">
        <f t="shared" si="0"/>
        <v>(    )</v>
      </c>
      <c r="G41" s="194" t="e">
        <f t="shared" si="1"/>
        <v>#VALUE!</v>
      </c>
      <c r="H41" s="194" t="e">
        <f t="shared" si="2"/>
        <v>#VALUE!</v>
      </c>
    </row>
    <row r="42" spans="1:17" ht="33" customHeight="1">
      <c r="A42" s="196" t="s">
        <v>117</v>
      </c>
      <c r="B42" s="6">
        <v>1210</v>
      </c>
      <c r="C42" s="2">
        <f>SUM(C8,C22,C32,C34,C38)</f>
        <v>45960.800000000003</v>
      </c>
      <c r="D42" s="2">
        <f>SUM(D8,D22,D32,D34,D38)</f>
        <v>53156.7</v>
      </c>
      <c r="E42" s="2">
        <f>SUM(E8,E22,E32,E34,E38)</f>
        <v>44675.200000000004</v>
      </c>
      <c r="F42" s="2">
        <f t="shared" si="0"/>
        <v>53156.7</v>
      </c>
      <c r="G42" s="2">
        <f t="shared" si="1"/>
        <v>8481.4999999999927</v>
      </c>
      <c r="H42" s="2">
        <f t="shared" si="2"/>
        <v>118.98480588783036</v>
      </c>
    </row>
    <row r="43" spans="1:17" ht="33" customHeight="1">
      <c r="A43" s="196" t="s">
        <v>118</v>
      </c>
      <c r="B43" s="6">
        <v>1220</v>
      </c>
      <c r="C43" s="2">
        <f>SUM(C9,C16,C25,C33,C35,C37)</f>
        <v>-49155.200000000004</v>
      </c>
      <c r="D43" s="2">
        <f>SUM(D9,D16,D25,D33,D35,D37)</f>
        <v>-56252.100000000006</v>
      </c>
      <c r="E43" s="2">
        <f>SUM(E9,E16,E25,E33,E35,E37)</f>
        <v>-44680.799999999996</v>
      </c>
      <c r="F43" s="2">
        <f t="shared" si="0"/>
        <v>-56252.100000000006</v>
      </c>
      <c r="G43" s="2">
        <f t="shared" si="1"/>
        <v>-11571.30000000001</v>
      </c>
      <c r="H43" s="2">
        <f t="shared" si="2"/>
        <v>125.89770102594406</v>
      </c>
    </row>
    <row r="44" spans="1:17" ht="33" customHeight="1">
      <c r="A44" s="237" t="s">
        <v>132</v>
      </c>
      <c r="B44" s="237"/>
      <c r="C44" s="237"/>
      <c r="D44" s="237"/>
      <c r="E44" s="237"/>
      <c r="F44" s="237"/>
      <c r="G44" s="237"/>
      <c r="H44" s="237"/>
    </row>
    <row r="45" spans="1:17" ht="33" customHeight="1">
      <c r="A45" s="197" t="s">
        <v>56</v>
      </c>
      <c r="B45" s="187">
        <v>9000</v>
      </c>
      <c r="C45" s="8">
        <v>8654</v>
      </c>
      <c r="D45" s="8">
        <v>6857.8</v>
      </c>
      <c r="E45" s="8">
        <v>6095.3</v>
      </c>
      <c r="F45" s="8">
        <f>D45</f>
        <v>6857.8</v>
      </c>
      <c r="G45" s="14">
        <f t="shared" ref="G45:G50" si="3">F45-E45</f>
        <v>762.5</v>
      </c>
      <c r="H45" s="14">
        <f t="shared" ref="H45:H50" si="4">(F45/E45)*100</f>
        <v>112.50963857398324</v>
      </c>
    </row>
    <row r="46" spans="1:17" ht="33" customHeight="1">
      <c r="A46" s="197" t="s">
        <v>2</v>
      </c>
      <c r="B46" s="187">
        <v>9010</v>
      </c>
      <c r="C46" s="8">
        <v>29376.2</v>
      </c>
      <c r="D46" s="8">
        <v>35108.199999999997</v>
      </c>
      <c r="E46" s="8">
        <v>26491.1</v>
      </c>
      <c r="F46" s="8">
        <f t="shared" ref="F46:F49" si="5">D46</f>
        <v>35108.199999999997</v>
      </c>
      <c r="G46" s="14">
        <f t="shared" si="3"/>
        <v>8617.0999999999985</v>
      </c>
      <c r="H46" s="14">
        <f t="shared" si="4"/>
        <v>132.52828308375265</v>
      </c>
    </row>
    <row r="47" spans="1:17" ht="33" customHeight="1">
      <c r="A47" s="197" t="s">
        <v>3</v>
      </c>
      <c r="B47" s="187">
        <v>9020</v>
      </c>
      <c r="C47" s="8">
        <v>6254.1</v>
      </c>
      <c r="D47" s="8">
        <v>7393.1</v>
      </c>
      <c r="E47" s="8">
        <v>5695.8</v>
      </c>
      <c r="F47" s="8">
        <f t="shared" si="5"/>
        <v>7393.1</v>
      </c>
      <c r="G47" s="14">
        <f t="shared" si="3"/>
        <v>1697.3000000000002</v>
      </c>
      <c r="H47" s="14">
        <f t="shared" si="4"/>
        <v>129.7991502510622</v>
      </c>
    </row>
    <row r="48" spans="1:17" ht="33" customHeight="1">
      <c r="A48" s="197" t="s">
        <v>4</v>
      </c>
      <c r="B48" s="187">
        <v>9030</v>
      </c>
      <c r="C48" s="8">
        <v>1238.4000000000001</v>
      </c>
      <c r="D48" s="8">
        <v>1420.8</v>
      </c>
      <c r="E48" s="8"/>
      <c r="F48" s="8">
        <f t="shared" si="5"/>
        <v>1420.8</v>
      </c>
      <c r="G48" s="14">
        <f t="shared" si="3"/>
        <v>1420.8</v>
      </c>
      <c r="H48" s="200" t="e">
        <f t="shared" si="4"/>
        <v>#DIV/0!</v>
      </c>
      <c r="N48" s="115"/>
      <c r="O48" s="116"/>
      <c r="P48" s="116"/>
      <c r="Q48" s="116"/>
    </row>
    <row r="49" spans="1:17" ht="33" customHeight="1">
      <c r="A49" s="197" t="s">
        <v>6</v>
      </c>
      <c r="B49" s="187">
        <v>9040</v>
      </c>
      <c r="C49" s="8">
        <v>3632.5</v>
      </c>
      <c r="D49" s="8">
        <v>5472.2</v>
      </c>
      <c r="E49" s="8">
        <v>6398.6</v>
      </c>
      <c r="F49" s="8">
        <f t="shared" si="5"/>
        <v>5472.2</v>
      </c>
      <c r="G49" s="14">
        <f t="shared" si="3"/>
        <v>-926.40000000000055</v>
      </c>
      <c r="H49" s="14">
        <f t="shared" si="4"/>
        <v>85.521832900947075</v>
      </c>
      <c r="N49" s="115"/>
      <c r="O49" s="116"/>
      <c r="P49" s="116"/>
      <c r="Q49" s="116"/>
    </row>
    <row r="50" spans="1:17" ht="33" customHeight="1">
      <c r="A50" s="201" t="s">
        <v>9</v>
      </c>
      <c r="B50" s="9">
        <v>9050</v>
      </c>
      <c r="C50" s="2">
        <f>SUM(C45:C49)</f>
        <v>49155.199999999997</v>
      </c>
      <c r="D50" s="2">
        <f>SUM(D45:D49)</f>
        <v>56252.1</v>
      </c>
      <c r="E50" s="2">
        <f>SUM(E45:E49)</f>
        <v>44680.799999999996</v>
      </c>
      <c r="F50" s="2">
        <f>SUM(F45:F49)</f>
        <v>56252.1</v>
      </c>
      <c r="G50" s="3">
        <f t="shared" si="3"/>
        <v>11571.300000000003</v>
      </c>
      <c r="H50" s="3">
        <f t="shared" si="4"/>
        <v>125.89770102594404</v>
      </c>
      <c r="N50" s="115"/>
      <c r="O50" s="117"/>
      <c r="P50" s="117"/>
      <c r="Q50" s="117"/>
    </row>
    <row r="51" spans="1:17" ht="33" customHeight="1">
      <c r="A51" s="231" t="s">
        <v>100</v>
      </c>
      <c r="B51" s="231"/>
      <c r="C51" s="231"/>
      <c r="D51" s="231"/>
      <c r="E51" s="231"/>
      <c r="F51" s="231"/>
      <c r="G51" s="231"/>
      <c r="H51" s="231"/>
      <c r="N51" s="115"/>
      <c r="O51" s="117"/>
      <c r="P51" s="117"/>
      <c r="Q51" s="117"/>
    </row>
    <row r="52" spans="1:17" ht="69" customHeight="1">
      <c r="A52" s="202" t="s">
        <v>138</v>
      </c>
      <c r="B52" s="6">
        <v>2110</v>
      </c>
      <c r="C52" s="2">
        <f>SUM(C53:C56)</f>
        <v>-401.9</v>
      </c>
      <c r="D52" s="2">
        <f>SUM(D53:D56)</f>
        <v>-576.22299999999996</v>
      </c>
      <c r="E52" s="2">
        <f>SUM(E53:E56)</f>
        <v>-439.36649999999992</v>
      </c>
      <c r="F52" s="2">
        <f>SUM(F53:F56)</f>
        <v>-576.22299999999996</v>
      </c>
      <c r="G52" s="2">
        <f>F52-F52</f>
        <v>0</v>
      </c>
      <c r="H52" s="2">
        <f>(F52/E52)*100</f>
        <v>131.14859690030988</v>
      </c>
      <c r="N52" s="115"/>
      <c r="O52" s="116"/>
      <c r="P52" s="116"/>
      <c r="Q52" s="116"/>
    </row>
    <row r="53" spans="1:17" ht="44.25" customHeight="1">
      <c r="A53" s="197" t="s">
        <v>53</v>
      </c>
      <c r="B53" s="7">
        <v>2111</v>
      </c>
      <c r="C53" s="8">
        <v>-49.4</v>
      </c>
      <c r="D53" s="8">
        <v>-49.6</v>
      </c>
      <c r="E53" s="8">
        <v>-42</v>
      </c>
      <c r="F53" s="8">
        <f>D53</f>
        <v>-49.6</v>
      </c>
      <c r="G53" s="8">
        <f t="shared" ref="G53:G68" si="6">F53-F53</f>
        <v>0</v>
      </c>
      <c r="H53" s="8">
        <f t="shared" ref="H53:H68" si="7">(F53/E53)*100</f>
        <v>118.0952380952381</v>
      </c>
      <c r="N53" s="115"/>
      <c r="O53" s="126"/>
      <c r="P53" s="126"/>
      <c r="Q53" s="126"/>
    </row>
    <row r="54" spans="1:17" ht="45.75" customHeight="1">
      <c r="A54" s="203" t="s">
        <v>54</v>
      </c>
      <c r="B54" s="7">
        <v>2112</v>
      </c>
      <c r="C54" s="8" t="s">
        <v>26</v>
      </c>
      <c r="D54" s="8" t="s">
        <v>26</v>
      </c>
      <c r="E54" s="8" t="s">
        <v>26</v>
      </c>
      <c r="F54" s="8" t="s">
        <v>26</v>
      </c>
      <c r="G54" s="194" t="e">
        <f t="shared" si="6"/>
        <v>#VALUE!</v>
      </c>
      <c r="H54" s="194" t="e">
        <f t="shared" si="7"/>
        <v>#VALUE!</v>
      </c>
    </row>
    <row r="55" spans="1:17" ht="28.5" customHeight="1">
      <c r="A55" s="197" t="s">
        <v>61</v>
      </c>
      <c r="B55" s="7">
        <v>2113</v>
      </c>
      <c r="C55" s="8">
        <v>-352.5</v>
      </c>
      <c r="D55" s="8">
        <f>-D46*1.5/100</f>
        <v>-526.62299999999993</v>
      </c>
      <c r="E55" s="8">
        <f>-E46*1.5/100</f>
        <v>-397.36649999999992</v>
      </c>
      <c r="F55" s="8">
        <f>D55</f>
        <v>-526.62299999999993</v>
      </c>
      <c r="G55" s="8">
        <f t="shared" si="6"/>
        <v>0</v>
      </c>
      <c r="H55" s="8">
        <f t="shared" si="7"/>
        <v>132.52828308375265</v>
      </c>
    </row>
    <row r="56" spans="1:17" ht="33" customHeight="1">
      <c r="A56" s="197" t="s">
        <v>40</v>
      </c>
      <c r="B56" s="7">
        <v>2114</v>
      </c>
      <c r="C56" s="8" t="s">
        <v>26</v>
      </c>
      <c r="D56" s="8" t="s">
        <v>26</v>
      </c>
      <c r="E56" s="8" t="s">
        <v>26</v>
      </c>
      <c r="F56" s="8" t="s">
        <v>26</v>
      </c>
      <c r="G56" s="194" t="e">
        <f t="shared" si="6"/>
        <v>#VALUE!</v>
      </c>
      <c r="H56" s="194" t="e">
        <f t="shared" si="7"/>
        <v>#VALUE!</v>
      </c>
    </row>
    <row r="57" spans="1:17" ht="43.5" customHeight="1">
      <c r="A57" s="204" t="s">
        <v>58</v>
      </c>
      <c r="B57" s="9">
        <v>2120</v>
      </c>
      <c r="C57" s="2">
        <f>SUM(C58:C63)</f>
        <v>-4889.8</v>
      </c>
      <c r="D57" s="2">
        <f>SUM(D58:D63)</f>
        <v>-6319.8759999999993</v>
      </c>
      <c r="E57" s="2">
        <f>SUM(E58:E63)</f>
        <v>-4768.6980000000003</v>
      </c>
      <c r="F57" s="2">
        <f>SUM(F58:F63)</f>
        <v>-6319.8759999999993</v>
      </c>
      <c r="G57" s="2">
        <f t="shared" si="6"/>
        <v>0</v>
      </c>
      <c r="H57" s="2">
        <f t="shared" si="7"/>
        <v>132.52833372966791</v>
      </c>
    </row>
    <row r="58" spans="1:17" ht="36" customHeight="1">
      <c r="A58" s="203" t="s">
        <v>38</v>
      </c>
      <c r="B58" s="187">
        <v>2121</v>
      </c>
      <c r="C58" s="8" t="s">
        <v>26</v>
      </c>
      <c r="D58" s="8" t="s">
        <v>26</v>
      </c>
      <c r="E58" s="8" t="s">
        <v>26</v>
      </c>
      <c r="F58" s="8" t="s">
        <v>26</v>
      </c>
      <c r="G58" s="194" t="e">
        <f t="shared" si="6"/>
        <v>#VALUE!</v>
      </c>
      <c r="H58" s="194" t="e">
        <f t="shared" si="7"/>
        <v>#VALUE!</v>
      </c>
    </row>
    <row r="59" spans="1:17" ht="33.75" customHeight="1">
      <c r="A59" s="197" t="s">
        <v>14</v>
      </c>
      <c r="B59" s="187">
        <v>2122</v>
      </c>
      <c r="C59" s="8">
        <v>-4889.5</v>
      </c>
      <c r="D59" s="8">
        <f>-D46*18/100</f>
        <v>-6319.4759999999997</v>
      </c>
      <c r="E59" s="8">
        <f>-E46*18/100</f>
        <v>-4768.3980000000001</v>
      </c>
      <c r="F59" s="8">
        <f>D59</f>
        <v>-6319.4759999999997</v>
      </c>
      <c r="G59" s="8">
        <f t="shared" si="6"/>
        <v>0</v>
      </c>
      <c r="H59" s="8">
        <f t="shared" si="7"/>
        <v>132.52828308375263</v>
      </c>
    </row>
    <row r="60" spans="1:17" ht="31.5" customHeight="1">
      <c r="A60" s="197" t="s">
        <v>44</v>
      </c>
      <c r="B60" s="187">
        <v>2123</v>
      </c>
      <c r="C60" s="8">
        <v>-0.3</v>
      </c>
      <c r="D60" s="8">
        <v>-0.4</v>
      </c>
      <c r="E60" s="8">
        <v>-0.3</v>
      </c>
      <c r="F60" s="8">
        <v>-0.4</v>
      </c>
      <c r="G60" s="194">
        <f t="shared" si="6"/>
        <v>0</v>
      </c>
      <c r="H60" s="194">
        <f t="shared" si="7"/>
        <v>133.33333333333334</v>
      </c>
    </row>
    <row r="61" spans="1:17" ht="31.5" customHeight="1">
      <c r="A61" s="197" t="s">
        <v>45</v>
      </c>
      <c r="B61" s="187">
        <v>2124</v>
      </c>
      <c r="C61" s="8" t="s">
        <v>26</v>
      </c>
      <c r="D61" s="8" t="s">
        <v>26</v>
      </c>
      <c r="E61" s="8" t="s">
        <v>26</v>
      </c>
      <c r="F61" s="8" t="s">
        <v>26</v>
      </c>
      <c r="G61" s="194" t="e">
        <f t="shared" si="6"/>
        <v>#VALUE!</v>
      </c>
      <c r="H61" s="194" t="e">
        <f t="shared" si="7"/>
        <v>#VALUE!</v>
      </c>
    </row>
    <row r="62" spans="1:17" ht="84.75" customHeight="1">
      <c r="A62" s="197" t="s">
        <v>385</v>
      </c>
      <c r="B62" s="187">
        <v>2125</v>
      </c>
      <c r="C62" s="8" t="s">
        <v>26</v>
      </c>
      <c r="D62" s="8" t="s">
        <v>26</v>
      </c>
      <c r="E62" s="8" t="s">
        <v>26</v>
      </c>
      <c r="F62" s="8" t="s">
        <v>26</v>
      </c>
      <c r="G62" s="194" t="e">
        <f t="shared" si="6"/>
        <v>#VALUE!</v>
      </c>
      <c r="H62" s="194" t="e">
        <f t="shared" si="7"/>
        <v>#VALUE!</v>
      </c>
    </row>
    <row r="63" spans="1:17" ht="31.5" customHeight="1">
      <c r="A63" s="197" t="s">
        <v>40</v>
      </c>
      <c r="B63" s="187">
        <v>2126</v>
      </c>
      <c r="C63" s="8" t="s">
        <v>26</v>
      </c>
      <c r="D63" s="8" t="s">
        <v>26</v>
      </c>
      <c r="E63" s="8" t="s">
        <v>26</v>
      </c>
      <c r="F63" s="8" t="s">
        <v>26</v>
      </c>
      <c r="G63" s="194" t="e">
        <f t="shared" si="6"/>
        <v>#VALUE!</v>
      </c>
      <c r="H63" s="194" t="e">
        <f t="shared" si="7"/>
        <v>#VALUE!</v>
      </c>
    </row>
    <row r="64" spans="1:17" ht="48" customHeight="1">
      <c r="A64" s="202" t="s">
        <v>59</v>
      </c>
      <c r="B64" s="9">
        <v>2130</v>
      </c>
      <c r="C64" s="2">
        <f>SUM(C65:C67)</f>
        <v>-6404.5</v>
      </c>
      <c r="D64" s="2">
        <f>SUM(D65:D67)</f>
        <v>-7569.1</v>
      </c>
      <c r="E64" s="2">
        <f>SUM(E65:E67)</f>
        <v>-5828.2</v>
      </c>
      <c r="F64" s="2">
        <f>SUM(F65:F67)</f>
        <v>-7569.1</v>
      </c>
      <c r="G64" s="2">
        <f t="shared" si="6"/>
        <v>0</v>
      </c>
      <c r="H64" s="2">
        <f t="shared" si="7"/>
        <v>129.8702858515494</v>
      </c>
    </row>
    <row r="65" spans="1:9" ht="33" customHeight="1">
      <c r="A65" s="197" t="s">
        <v>41</v>
      </c>
      <c r="B65" s="187">
        <v>2131</v>
      </c>
      <c r="C65" s="8" t="s">
        <v>26</v>
      </c>
      <c r="D65" s="8" t="s">
        <v>26</v>
      </c>
      <c r="E65" s="8" t="s">
        <v>26</v>
      </c>
      <c r="F65" s="8" t="s">
        <v>26</v>
      </c>
      <c r="G65" s="194" t="e">
        <f t="shared" si="6"/>
        <v>#VALUE!</v>
      </c>
      <c r="H65" s="194" t="e">
        <f t="shared" si="7"/>
        <v>#VALUE!</v>
      </c>
    </row>
    <row r="66" spans="1:9" ht="44.25" customHeight="1">
      <c r="A66" s="197" t="s">
        <v>42</v>
      </c>
      <c r="B66" s="187">
        <v>2132</v>
      </c>
      <c r="C66" s="8">
        <v>-6254.1</v>
      </c>
      <c r="D66" s="8">
        <v>-7393.1</v>
      </c>
      <c r="E66" s="8">
        <v>-5695.8</v>
      </c>
      <c r="F66" s="8">
        <f>D66</f>
        <v>-7393.1</v>
      </c>
      <c r="G66" s="8">
        <f t="shared" si="6"/>
        <v>0</v>
      </c>
      <c r="H66" s="8">
        <f t="shared" si="7"/>
        <v>129.7991502510622</v>
      </c>
    </row>
    <row r="67" spans="1:9" ht="35.25" customHeight="1">
      <c r="A67" s="197" t="s">
        <v>43</v>
      </c>
      <c r="B67" s="187">
        <v>2133</v>
      </c>
      <c r="C67" s="8">
        <v>-150.4</v>
      </c>
      <c r="D67" s="8">
        <v>-176</v>
      </c>
      <c r="E67" s="8">
        <v>-132.4</v>
      </c>
      <c r="F67" s="8">
        <f>D67</f>
        <v>-176</v>
      </c>
      <c r="G67" s="8">
        <f t="shared" si="6"/>
        <v>0</v>
      </c>
      <c r="H67" s="8">
        <f t="shared" si="7"/>
        <v>132.93051359516616</v>
      </c>
      <c r="I67" s="144" t="s">
        <v>279</v>
      </c>
    </row>
    <row r="68" spans="1:9" ht="30.75" customHeight="1">
      <c r="A68" s="204" t="s">
        <v>55</v>
      </c>
      <c r="B68" s="9">
        <v>2200</v>
      </c>
      <c r="C68" s="2">
        <f>SUM(C52+C57+C64)</f>
        <v>-11696.2</v>
      </c>
      <c r="D68" s="2">
        <f>SUM(D52+D57+D64)</f>
        <v>-14465.199000000001</v>
      </c>
      <c r="E68" s="2">
        <f>SUM(E52+E57+E64)</f>
        <v>-11036.264500000001</v>
      </c>
      <c r="F68" s="2">
        <f>SUM(F52+F57+F64)</f>
        <v>-14465.199000000001</v>
      </c>
      <c r="G68" s="2">
        <f t="shared" si="6"/>
        <v>0</v>
      </c>
      <c r="H68" s="2">
        <f t="shared" si="7"/>
        <v>131.06970207174717</v>
      </c>
    </row>
    <row r="69" spans="1:9" ht="33" customHeight="1">
      <c r="A69" s="232" t="s">
        <v>101</v>
      </c>
      <c r="B69" s="232"/>
      <c r="C69" s="232"/>
      <c r="D69" s="232"/>
      <c r="E69" s="232"/>
      <c r="F69" s="232"/>
      <c r="G69" s="232"/>
      <c r="H69" s="232"/>
    </row>
    <row r="70" spans="1:9" ht="27.75" customHeight="1">
      <c r="A70" s="196" t="s">
        <v>19</v>
      </c>
      <c r="B70" s="6">
        <v>4000</v>
      </c>
      <c r="C70" s="2">
        <f>SUM(C71:C77)</f>
        <v>-592</v>
      </c>
      <c r="D70" s="2">
        <f>SUM(D71:D77)</f>
        <v>-3946.2</v>
      </c>
      <c r="E70" s="2">
        <f>SUM(E71:E77)</f>
        <v>0</v>
      </c>
      <c r="F70" s="2">
        <f>SUM(F71:F77)</f>
        <v>-3946.2</v>
      </c>
      <c r="G70" s="2">
        <f>F70-E70</f>
        <v>-3946.2</v>
      </c>
      <c r="H70" s="195" t="e">
        <f>(F70/E70)*100</f>
        <v>#DIV/0!</v>
      </c>
    </row>
    <row r="71" spans="1:9" ht="37.5" customHeight="1">
      <c r="A71" s="197" t="s">
        <v>62</v>
      </c>
      <c r="B71" s="7">
        <v>4010</v>
      </c>
      <c r="C71" s="8" t="s">
        <v>26</v>
      </c>
      <c r="D71" s="8" t="s">
        <v>26</v>
      </c>
      <c r="E71" s="8" t="s">
        <v>26</v>
      </c>
      <c r="F71" s="8" t="s">
        <v>26</v>
      </c>
      <c r="G71" s="194" t="e">
        <f t="shared" ref="G71:G77" si="8">F71-E71</f>
        <v>#VALUE!</v>
      </c>
      <c r="H71" s="194" t="e">
        <f t="shared" ref="H71:H77" si="9">(F71/E71)*100</f>
        <v>#VALUE!</v>
      </c>
    </row>
    <row r="72" spans="1:9" ht="48.75" customHeight="1">
      <c r="A72" s="197" t="s">
        <v>128</v>
      </c>
      <c r="B72" s="7">
        <v>4020</v>
      </c>
      <c r="C72" s="8">
        <v>-428.2</v>
      </c>
      <c r="D72" s="8">
        <v>-3496.2</v>
      </c>
      <c r="E72" s="8" t="s">
        <v>26</v>
      </c>
      <c r="F72" s="8">
        <f>D72</f>
        <v>-3496.2</v>
      </c>
      <c r="G72" s="194" t="e">
        <f t="shared" si="8"/>
        <v>#VALUE!</v>
      </c>
      <c r="H72" s="194" t="e">
        <f t="shared" si="9"/>
        <v>#VALUE!</v>
      </c>
    </row>
    <row r="73" spans="1:9" ht="48.75" customHeight="1">
      <c r="A73" s="197" t="s">
        <v>71</v>
      </c>
      <c r="B73" s="7">
        <v>4030</v>
      </c>
      <c r="C73" s="8">
        <v>-163.80000000000001</v>
      </c>
      <c r="D73" s="8">
        <v>-145.1</v>
      </c>
      <c r="E73" s="8" t="s">
        <v>26</v>
      </c>
      <c r="F73" s="8">
        <f>D73</f>
        <v>-145.1</v>
      </c>
      <c r="G73" s="194" t="e">
        <f t="shared" si="8"/>
        <v>#VALUE!</v>
      </c>
      <c r="H73" s="194" t="e">
        <f t="shared" si="9"/>
        <v>#VALUE!</v>
      </c>
    </row>
    <row r="74" spans="1:9" ht="49.5" customHeight="1">
      <c r="A74" s="197" t="s">
        <v>129</v>
      </c>
      <c r="B74" s="7">
        <v>4040</v>
      </c>
      <c r="C74" s="8" t="s">
        <v>26</v>
      </c>
      <c r="D74" s="8" t="s">
        <v>26</v>
      </c>
      <c r="E74" s="8" t="s">
        <v>26</v>
      </c>
      <c r="F74" s="8" t="s">
        <v>26</v>
      </c>
      <c r="G74" s="194" t="e">
        <f t="shared" si="8"/>
        <v>#VALUE!</v>
      </c>
      <c r="H74" s="194" t="e">
        <f t="shared" si="9"/>
        <v>#VALUE!</v>
      </c>
    </row>
    <row r="75" spans="1:9" ht="73.5" customHeight="1">
      <c r="A75" s="197" t="s">
        <v>63</v>
      </c>
      <c r="B75" s="7">
        <v>4050</v>
      </c>
      <c r="C75" s="8" t="s">
        <v>26</v>
      </c>
      <c r="D75" s="8" t="s">
        <v>26</v>
      </c>
      <c r="E75" s="8" t="s">
        <v>26</v>
      </c>
      <c r="F75" s="8" t="s">
        <v>26</v>
      </c>
      <c r="G75" s="194" t="e">
        <f t="shared" si="8"/>
        <v>#VALUE!</v>
      </c>
      <c r="H75" s="194" t="e">
        <f t="shared" si="9"/>
        <v>#VALUE!</v>
      </c>
    </row>
    <row r="76" spans="1:9" ht="36.75" customHeight="1">
      <c r="A76" s="197" t="s">
        <v>64</v>
      </c>
      <c r="B76" s="7">
        <v>4060</v>
      </c>
      <c r="C76" s="8" t="s">
        <v>26</v>
      </c>
      <c r="D76" s="8">
        <v>-304.89999999999998</v>
      </c>
      <c r="E76" s="8" t="s">
        <v>26</v>
      </c>
      <c r="F76" s="8">
        <f>D76</f>
        <v>-304.89999999999998</v>
      </c>
      <c r="G76" s="194" t="e">
        <f t="shared" si="8"/>
        <v>#VALUE!</v>
      </c>
      <c r="H76" s="194" t="e">
        <f t="shared" si="9"/>
        <v>#VALUE!</v>
      </c>
    </row>
    <row r="77" spans="1:9" ht="39.75" customHeight="1">
      <c r="A77" s="197" t="s">
        <v>50</v>
      </c>
      <c r="B77" s="7">
        <v>4070</v>
      </c>
      <c r="C77" s="8" t="s">
        <v>26</v>
      </c>
      <c r="D77" s="8" t="s">
        <v>26</v>
      </c>
      <c r="E77" s="8" t="s">
        <v>26</v>
      </c>
      <c r="F77" s="8" t="s">
        <v>26</v>
      </c>
      <c r="G77" s="194" t="e">
        <f t="shared" si="8"/>
        <v>#VALUE!</v>
      </c>
      <c r="H77" s="194" t="e">
        <f t="shared" si="9"/>
        <v>#VALUE!</v>
      </c>
    </row>
    <row r="78" spans="1:9" ht="36.75" customHeight="1">
      <c r="A78" s="231" t="s">
        <v>102</v>
      </c>
      <c r="B78" s="231"/>
      <c r="C78" s="231"/>
      <c r="D78" s="231"/>
      <c r="E78" s="231"/>
      <c r="F78" s="231"/>
      <c r="G78" s="231"/>
      <c r="H78" s="231"/>
    </row>
    <row r="79" spans="1:9" ht="46.5" customHeight="1">
      <c r="A79" s="69"/>
      <c r="B79" s="69"/>
      <c r="C79" s="233" t="s">
        <v>122</v>
      </c>
      <c r="D79" s="233"/>
      <c r="E79" s="236" t="s">
        <v>384</v>
      </c>
      <c r="F79" s="236"/>
      <c r="G79" s="236"/>
      <c r="H79" s="236"/>
    </row>
    <row r="80" spans="1:9" ht="45" customHeight="1">
      <c r="A80" s="69"/>
      <c r="B80" s="69"/>
      <c r="C80" s="187" t="s">
        <v>386</v>
      </c>
      <c r="D80" s="187" t="s">
        <v>307</v>
      </c>
      <c r="E80" s="5" t="s">
        <v>108</v>
      </c>
      <c r="F80" s="5" t="s">
        <v>109</v>
      </c>
      <c r="G80" s="5" t="s">
        <v>110</v>
      </c>
      <c r="H80" s="5" t="s">
        <v>111</v>
      </c>
    </row>
    <row r="81" spans="1:17" s="49" customFormat="1" ht="86.25" customHeight="1">
      <c r="A81" s="204" t="s">
        <v>130</v>
      </c>
      <c r="B81" s="11" t="s">
        <v>30</v>
      </c>
      <c r="C81" s="12">
        <f>SUM(C82:C84)</f>
        <v>561</v>
      </c>
      <c r="D81" s="12">
        <f>SUM(D82:D84)</f>
        <v>475</v>
      </c>
      <c r="E81" s="12">
        <f>SUM(E82:E84)</f>
        <v>524</v>
      </c>
      <c r="F81" s="12">
        <f>SUM(F82:F84)</f>
        <v>475</v>
      </c>
      <c r="G81" s="12" t="s">
        <v>131</v>
      </c>
      <c r="H81" s="3" t="s">
        <v>131</v>
      </c>
    </row>
    <row r="82" spans="1:17" ht="27.75" customHeight="1">
      <c r="A82" s="198" t="s">
        <v>21</v>
      </c>
      <c r="B82" s="7" t="s">
        <v>31</v>
      </c>
      <c r="C82" s="13">
        <v>1</v>
      </c>
      <c r="D82" s="13">
        <v>1</v>
      </c>
      <c r="E82" s="13">
        <v>1</v>
      </c>
      <c r="F82" s="13">
        <f>D82</f>
        <v>1</v>
      </c>
      <c r="G82" s="13" t="s">
        <v>131</v>
      </c>
      <c r="H82" s="14" t="s">
        <v>131</v>
      </c>
      <c r="K82" s="154"/>
      <c r="L82" s="154"/>
    </row>
    <row r="83" spans="1:17" ht="27.75" customHeight="1">
      <c r="A83" s="198" t="s">
        <v>24</v>
      </c>
      <c r="B83" s="7" t="s">
        <v>32</v>
      </c>
      <c r="C83" s="13">
        <v>59</v>
      </c>
      <c r="D83" s="13">
        <v>50</v>
      </c>
      <c r="E83" s="13">
        <v>58</v>
      </c>
      <c r="F83" s="13">
        <f t="shared" ref="F83:F84" si="10">D83</f>
        <v>50</v>
      </c>
      <c r="G83" s="13" t="s">
        <v>131</v>
      </c>
      <c r="H83" s="14" t="s">
        <v>131</v>
      </c>
      <c r="J83" s="154"/>
      <c r="K83" s="154"/>
      <c r="L83" s="157"/>
    </row>
    <row r="84" spans="1:17" ht="27.75" customHeight="1">
      <c r="A84" s="198" t="s">
        <v>22</v>
      </c>
      <c r="B84" s="7" t="s">
        <v>33</v>
      </c>
      <c r="C84" s="13">
        <v>501</v>
      </c>
      <c r="D84" s="13">
        <f>473-49</f>
        <v>424</v>
      </c>
      <c r="E84" s="13">
        <v>465</v>
      </c>
      <c r="F84" s="13">
        <f t="shared" si="10"/>
        <v>424</v>
      </c>
      <c r="G84" s="13" t="s">
        <v>131</v>
      </c>
      <c r="H84" s="14" t="s">
        <v>131</v>
      </c>
      <c r="J84" s="154"/>
      <c r="K84" s="154"/>
      <c r="L84" s="157"/>
    </row>
    <row r="85" spans="1:17" ht="27.75" customHeight="1">
      <c r="A85" s="196" t="s">
        <v>72</v>
      </c>
      <c r="B85" s="6" t="s">
        <v>34</v>
      </c>
      <c r="C85" s="2">
        <f>SUM(C86:C88)</f>
        <v>29376.2</v>
      </c>
      <c r="D85" s="2">
        <f>SUM(D86:D88)</f>
        <v>35108.199999999997</v>
      </c>
      <c r="E85" s="2">
        <f>SUM(E86:E88)</f>
        <v>26491.200000000001</v>
      </c>
      <c r="F85" s="2">
        <f>SUM(F86:F88)</f>
        <v>35108.199999999997</v>
      </c>
      <c r="G85" s="3" t="s">
        <v>131</v>
      </c>
      <c r="H85" s="3" t="s">
        <v>131</v>
      </c>
      <c r="J85" s="154"/>
      <c r="K85" s="154"/>
    </row>
    <row r="86" spans="1:17" ht="27.75" customHeight="1">
      <c r="A86" s="198" t="s">
        <v>21</v>
      </c>
      <c r="B86" s="7">
        <v>8011</v>
      </c>
      <c r="C86" s="8">
        <v>231.5</v>
      </c>
      <c r="D86" s="8">
        <v>300.10000000000002</v>
      </c>
      <c r="E86" s="155">
        <v>50.6</v>
      </c>
      <c r="F86" s="155">
        <f>D86</f>
        <v>300.10000000000002</v>
      </c>
      <c r="G86" s="14" t="s">
        <v>131</v>
      </c>
      <c r="H86" s="14" t="s">
        <v>131</v>
      </c>
      <c r="J86" s="154"/>
      <c r="K86" s="154"/>
      <c r="M86" s="156"/>
      <c r="Q86" s="154"/>
    </row>
    <row r="87" spans="1:17" ht="27.75" customHeight="1">
      <c r="A87" s="198" t="s">
        <v>24</v>
      </c>
      <c r="B87" s="7">
        <v>8012</v>
      </c>
      <c r="C87" s="8">
        <v>1552.9</v>
      </c>
      <c r="D87" s="8">
        <v>4210</v>
      </c>
      <c r="E87" s="155">
        <v>2527.8000000000002</v>
      </c>
      <c r="F87" s="155">
        <f t="shared" ref="F87:F88" si="11">D87</f>
        <v>4210</v>
      </c>
      <c r="G87" s="14" t="s">
        <v>131</v>
      </c>
      <c r="H87" s="14" t="s">
        <v>131</v>
      </c>
      <c r="J87" s="154"/>
      <c r="K87" s="154"/>
      <c r="Q87" s="154"/>
    </row>
    <row r="88" spans="1:17" ht="27.75" customHeight="1">
      <c r="A88" s="198" t="s">
        <v>22</v>
      </c>
      <c r="B88" s="7">
        <v>8013</v>
      </c>
      <c r="C88" s="8">
        <v>27591.8</v>
      </c>
      <c r="D88" s="8">
        <v>30598.1</v>
      </c>
      <c r="E88" s="155">
        <v>23912.799999999999</v>
      </c>
      <c r="F88" s="155">
        <f t="shared" si="11"/>
        <v>30598.1</v>
      </c>
      <c r="G88" s="14" t="s">
        <v>131</v>
      </c>
      <c r="H88" s="14" t="s">
        <v>131</v>
      </c>
      <c r="J88" s="154"/>
      <c r="K88" s="154"/>
      <c r="M88" s="154"/>
      <c r="Q88" s="154"/>
    </row>
    <row r="89" spans="1:17" ht="27.75" customHeight="1">
      <c r="A89" s="196" t="s">
        <v>2</v>
      </c>
      <c r="B89" s="6">
        <v>8020</v>
      </c>
      <c r="C89" s="2">
        <f>C46</f>
        <v>29376.2</v>
      </c>
      <c r="D89" s="2">
        <f>D46</f>
        <v>35108.199999999997</v>
      </c>
      <c r="E89" s="2">
        <f>E46</f>
        <v>26491.1</v>
      </c>
      <c r="F89" s="2">
        <f>F46</f>
        <v>35108.199999999997</v>
      </c>
      <c r="G89" s="3" t="s">
        <v>131</v>
      </c>
      <c r="H89" s="3" t="s">
        <v>131</v>
      </c>
      <c r="J89" s="154"/>
      <c r="K89" s="154"/>
      <c r="Q89" s="154"/>
    </row>
    <row r="90" spans="1:17" ht="27.75" customHeight="1">
      <c r="A90" s="198" t="s">
        <v>21</v>
      </c>
      <c r="B90" s="7">
        <v>8021</v>
      </c>
      <c r="C90" s="8">
        <f>C86</f>
        <v>231.5</v>
      </c>
      <c r="D90" s="8">
        <f>D86</f>
        <v>300.10000000000002</v>
      </c>
      <c r="E90" s="155">
        <f>E86</f>
        <v>50.6</v>
      </c>
      <c r="F90" s="155">
        <f>D90</f>
        <v>300.10000000000002</v>
      </c>
      <c r="G90" s="14" t="s">
        <v>131</v>
      </c>
      <c r="H90" s="14" t="s">
        <v>131</v>
      </c>
      <c r="J90" s="154"/>
      <c r="K90" s="154"/>
    </row>
    <row r="91" spans="1:17" ht="27.75" customHeight="1">
      <c r="A91" s="198" t="s">
        <v>24</v>
      </c>
      <c r="B91" s="7">
        <v>8022</v>
      </c>
      <c r="C91" s="8">
        <f t="shared" ref="C91:E92" si="12">C87</f>
        <v>1552.9</v>
      </c>
      <c r="D91" s="8">
        <f t="shared" si="12"/>
        <v>4210</v>
      </c>
      <c r="E91" s="155">
        <f t="shared" si="12"/>
        <v>2527.8000000000002</v>
      </c>
      <c r="F91" s="155">
        <f t="shared" ref="F91:F92" si="13">D91</f>
        <v>4210</v>
      </c>
      <c r="G91" s="14" t="s">
        <v>131</v>
      </c>
      <c r="H91" s="14" t="s">
        <v>131</v>
      </c>
      <c r="J91" s="154"/>
      <c r="K91" s="157"/>
      <c r="M91" s="156"/>
    </row>
    <row r="92" spans="1:17" ht="27.75" customHeight="1">
      <c r="A92" s="198" t="s">
        <v>22</v>
      </c>
      <c r="B92" s="7">
        <v>8023</v>
      </c>
      <c r="C92" s="8">
        <f t="shared" si="12"/>
        <v>27591.8</v>
      </c>
      <c r="D92" s="8">
        <f t="shared" si="12"/>
        <v>30598.1</v>
      </c>
      <c r="E92" s="155">
        <f t="shared" si="12"/>
        <v>23912.799999999999</v>
      </c>
      <c r="F92" s="155">
        <f t="shared" si="13"/>
        <v>30598.1</v>
      </c>
      <c r="G92" s="14" t="s">
        <v>131</v>
      </c>
      <c r="H92" s="14" t="s">
        <v>131</v>
      </c>
      <c r="J92" s="154"/>
      <c r="M92" s="156"/>
    </row>
    <row r="93" spans="1:17" s="49" customFormat="1" ht="66" customHeight="1">
      <c r="A93" s="204" t="s">
        <v>49</v>
      </c>
      <c r="B93" s="11" t="s">
        <v>73</v>
      </c>
      <c r="C93" s="12">
        <v>9000</v>
      </c>
      <c r="D93" s="12">
        <f>(D89/D81)/6*1000</f>
        <v>12318.666666666666</v>
      </c>
      <c r="E93" s="12">
        <f>(E89/E81)/6*1000</f>
        <v>8425.9223918575062</v>
      </c>
      <c r="F93" s="12">
        <f>(F89/F81)/6*1000</f>
        <v>12318.666666666666</v>
      </c>
      <c r="G93" s="12" t="s">
        <v>131</v>
      </c>
      <c r="H93" s="3" t="s">
        <v>131</v>
      </c>
      <c r="M93" s="165"/>
    </row>
    <row r="94" spans="1:17" ht="27.75" customHeight="1">
      <c r="A94" s="198" t="s">
        <v>21</v>
      </c>
      <c r="B94" s="7">
        <v>8031</v>
      </c>
      <c r="C94" s="13">
        <f t="shared" ref="C94:D96" si="14">(C90/C82)/6*1000</f>
        <v>38583.333333333336</v>
      </c>
      <c r="D94" s="13">
        <f t="shared" si="14"/>
        <v>50016.666666666672</v>
      </c>
      <c r="E94" s="13">
        <f t="shared" ref="E94:E96" si="15">(E90/E82)/6*1000</f>
        <v>8433.3333333333339</v>
      </c>
      <c r="F94" s="13">
        <f>D94</f>
        <v>50016.666666666672</v>
      </c>
      <c r="G94" s="13" t="s">
        <v>131</v>
      </c>
      <c r="H94" s="14" t="s">
        <v>131</v>
      </c>
    </row>
    <row r="95" spans="1:17" ht="27.75" customHeight="1">
      <c r="A95" s="198" t="s">
        <v>24</v>
      </c>
      <c r="B95" s="7">
        <v>8032</v>
      </c>
      <c r="C95" s="13">
        <f t="shared" si="14"/>
        <v>4386.7231638418089</v>
      </c>
      <c r="D95" s="13">
        <f t="shared" si="14"/>
        <v>14033.333333333334</v>
      </c>
      <c r="E95" s="13">
        <f t="shared" si="15"/>
        <v>7263.7931034482763</v>
      </c>
      <c r="F95" s="13">
        <f t="shared" ref="F95:F96" si="16">D95</f>
        <v>14033.333333333334</v>
      </c>
      <c r="G95" s="13" t="s">
        <v>131</v>
      </c>
      <c r="H95" s="14" t="s">
        <v>131</v>
      </c>
    </row>
    <row r="96" spans="1:17" ht="27.75" customHeight="1">
      <c r="A96" s="198" t="s">
        <v>22</v>
      </c>
      <c r="B96" s="7">
        <v>8033</v>
      </c>
      <c r="C96" s="13">
        <f t="shared" si="14"/>
        <v>9178.9088489687292</v>
      </c>
      <c r="D96" s="13">
        <f t="shared" si="14"/>
        <v>12027.55503144654</v>
      </c>
      <c r="E96" s="13">
        <f t="shared" si="15"/>
        <v>8570.8960573476688</v>
      </c>
      <c r="F96" s="13">
        <f t="shared" si="16"/>
        <v>12027.55503144654</v>
      </c>
      <c r="G96" s="13" t="s">
        <v>131</v>
      </c>
      <c r="H96" s="14" t="s">
        <v>131</v>
      </c>
    </row>
    <row r="97" spans="1:20" s="49" customFormat="1">
      <c r="A97" s="147"/>
      <c r="C97" s="148"/>
      <c r="D97" s="149"/>
      <c r="E97" s="150"/>
      <c r="F97" s="150"/>
      <c r="G97" s="150"/>
      <c r="H97" s="150"/>
    </row>
    <row r="98" spans="1:20" s="49" customFormat="1">
      <c r="A98" s="147"/>
      <c r="C98" s="148"/>
      <c r="D98" s="149"/>
      <c r="E98" s="150"/>
      <c r="F98" s="150"/>
      <c r="G98" s="150"/>
      <c r="H98" s="150"/>
      <c r="T98" s="165"/>
    </row>
    <row r="99" spans="1:20" s="49" customFormat="1" ht="28.5" customHeight="1">
      <c r="A99" s="205" t="s">
        <v>474</v>
      </c>
      <c r="B99" s="151"/>
      <c r="C99" s="229"/>
      <c r="D99" s="230"/>
      <c r="E99" s="152"/>
      <c r="F99" s="152"/>
      <c r="G99" s="234" t="s">
        <v>213</v>
      </c>
      <c r="H99" s="234"/>
      <c r="I99" s="235"/>
    </row>
    <row r="100" spans="1:20" s="49" customFormat="1">
      <c r="A100" s="49" t="s">
        <v>10</v>
      </c>
      <c r="B100" s="144"/>
      <c r="C100" s="227" t="s">
        <v>11</v>
      </c>
      <c r="D100" s="227"/>
      <c r="E100" s="145"/>
      <c r="F100" s="145"/>
      <c r="G100" s="228" t="s">
        <v>16</v>
      </c>
      <c r="H100" s="228"/>
      <c r="I100" s="164"/>
    </row>
    <row r="101" spans="1:20" s="49" customFormat="1">
      <c r="A101" s="153"/>
      <c r="E101" s="144"/>
      <c r="F101" s="144"/>
      <c r="G101" s="144"/>
      <c r="H101" s="144"/>
      <c r="I101" s="164"/>
    </row>
    <row r="102" spans="1:20" s="49" customFormat="1">
      <c r="A102" s="153"/>
      <c r="E102" s="144"/>
      <c r="F102" s="144"/>
      <c r="G102" s="144"/>
      <c r="H102" s="144"/>
    </row>
    <row r="103" spans="1:20" s="49" customFormat="1">
      <c r="A103" s="153"/>
      <c r="E103" s="144"/>
      <c r="F103" s="144"/>
      <c r="G103" s="144"/>
      <c r="H103" s="144"/>
    </row>
    <row r="104" spans="1:20" s="49" customFormat="1">
      <c r="A104" s="153"/>
      <c r="E104" s="144"/>
      <c r="F104" s="144"/>
      <c r="G104" s="144"/>
      <c r="H104" s="144"/>
    </row>
    <row r="105" spans="1:20" s="49" customFormat="1">
      <c r="A105" s="153"/>
      <c r="E105" s="144"/>
      <c r="F105" s="144"/>
      <c r="G105" s="144"/>
      <c r="H105" s="144"/>
    </row>
    <row r="106" spans="1:20" s="49" customFormat="1">
      <c r="A106" s="153"/>
      <c r="E106" s="144"/>
      <c r="F106" s="144"/>
      <c r="G106" s="144"/>
      <c r="H106" s="144"/>
    </row>
    <row r="107" spans="1:20" s="49" customFormat="1">
      <c r="A107" s="153"/>
      <c r="E107" s="144"/>
      <c r="F107" s="144"/>
      <c r="G107" s="144"/>
      <c r="H107" s="144"/>
    </row>
    <row r="108" spans="1:20" s="49" customFormat="1">
      <c r="A108" s="153"/>
      <c r="E108" s="144"/>
      <c r="F108" s="144"/>
      <c r="G108" s="144"/>
      <c r="H108" s="144"/>
    </row>
    <row r="109" spans="1:20" s="49" customFormat="1">
      <c r="A109" s="153"/>
      <c r="E109" s="144"/>
      <c r="F109" s="144"/>
      <c r="G109" s="144"/>
      <c r="H109" s="144"/>
    </row>
    <row r="110" spans="1:20" s="49" customFormat="1">
      <c r="A110" s="153"/>
      <c r="E110" s="144"/>
      <c r="F110" s="144"/>
      <c r="G110" s="144"/>
      <c r="H110" s="144"/>
    </row>
    <row r="111" spans="1:20" s="49" customFormat="1">
      <c r="A111" s="153"/>
      <c r="E111" s="144"/>
      <c r="F111" s="144"/>
      <c r="G111" s="144"/>
      <c r="H111" s="144"/>
    </row>
    <row r="112" spans="1:20" s="49" customFormat="1">
      <c r="A112" s="153"/>
      <c r="E112" s="144"/>
      <c r="F112" s="144"/>
      <c r="G112" s="144"/>
      <c r="H112" s="144"/>
    </row>
    <row r="113" spans="1:8" s="49" customFormat="1">
      <c r="A113" s="153"/>
      <c r="E113" s="144"/>
      <c r="F113" s="144"/>
      <c r="G113" s="144"/>
      <c r="H113" s="144"/>
    </row>
    <row r="114" spans="1:8" s="49" customFormat="1">
      <c r="A114" s="153"/>
      <c r="E114" s="144"/>
      <c r="F114" s="144"/>
      <c r="G114" s="144"/>
      <c r="H114" s="144"/>
    </row>
    <row r="115" spans="1:8" s="49" customFormat="1">
      <c r="A115" s="153"/>
      <c r="E115" s="144"/>
      <c r="F115" s="144"/>
      <c r="G115" s="144"/>
      <c r="H115" s="144"/>
    </row>
    <row r="116" spans="1:8" s="49" customFormat="1">
      <c r="A116" s="153"/>
      <c r="E116" s="144"/>
      <c r="F116" s="144"/>
      <c r="G116" s="144"/>
      <c r="H116" s="144"/>
    </row>
    <row r="117" spans="1:8" s="49" customFormat="1">
      <c r="A117" s="153"/>
      <c r="E117" s="144"/>
      <c r="F117" s="144"/>
      <c r="G117" s="144"/>
      <c r="H117" s="144"/>
    </row>
    <row r="118" spans="1:8" s="49" customFormat="1">
      <c r="A118" s="153"/>
      <c r="E118" s="144"/>
      <c r="F118" s="144"/>
      <c r="G118" s="144"/>
      <c r="H118" s="144"/>
    </row>
    <row r="119" spans="1:8" s="49" customFormat="1">
      <c r="A119" s="153"/>
      <c r="E119" s="144"/>
      <c r="F119" s="144"/>
      <c r="G119" s="144"/>
      <c r="H119" s="144"/>
    </row>
    <row r="120" spans="1:8" s="49" customFormat="1">
      <c r="A120" s="153"/>
      <c r="E120" s="144"/>
      <c r="F120" s="144"/>
      <c r="G120" s="144"/>
      <c r="H120" s="144"/>
    </row>
    <row r="121" spans="1:8" s="49" customFormat="1">
      <c r="A121" s="153"/>
      <c r="E121" s="144"/>
      <c r="F121" s="144"/>
      <c r="G121" s="144"/>
      <c r="H121" s="144"/>
    </row>
    <row r="122" spans="1:8" s="49" customFormat="1">
      <c r="A122" s="153"/>
      <c r="E122" s="144"/>
      <c r="F122" s="144"/>
      <c r="G122" s="144"/>
      <c r="H122" s="144"/>
    </row>
    <row r="123" spans="1:8" s="49" customFormat="1">
      <c r="A123" s="153"/>
      <c r="E123" s="144"/>
      <c r="F123" s="144"/>
      <c r="G123" s="144"/>
      <c r="H123" s="144"/>
    </row>
    <row r="124" spans="1:8" s="49" customFormat="1">
      <c r="A124" s="153"/>
      <c r="E124" s="144"/>
      <c r="F124" s="144"/>
      <c r="G124" s="144"/>
      <c r="H124" s="144"/>
    </row>
    <row r="125" spans="1:8" s="49" customFormat="1">
      <c r="A125" s="153"/>
      <c r="E125" s="144"/>
      <c r="F125" s="144"/>
      <c r="G125" s="144"/>
      <c r="H125" s="144"/>
    </row>
    <row r="126" spans="1:8" s="49" customFormat="1">
      <c r="A126" s="153"/>
      <c r="E126" s="144"/>
      <c r="F126" s="144"/>
      <c r="G126" s="144"/>
      <c r="H126" s="144"/>
    </row>
    <row r="127" spans="1:8" s="49" customFormat="1">
      <c r="A127" s="153"/>
      <c r="E127" s="144"/>
      <c r="F127" s="144"/>
      <c r="G127" s="144"/>
      <c r="H127" s="144"/>
    </row>
    <row r="128" spans="1:8" s="49" customFormat="1">
      <c r="A128" s="153"/>
      <c r="E128" s="144"/>
      <c r="F128" s="144"/>
      <c r="G128" s="144"/>
      <c r="H128" s="144"/>
    </row>
    <row r="129" spans="1:8" s="49" customFormat="1">
      <c r="A129" s="153"/>
      <c r="E129" s="144"/>
      <c r="F129" s="144"/>
      <c r="G129" s="144"/>
      <c r="H129" s="144"/>
    </row>
    <row r="130" spans="1:8" s="49" customFormat="1">
      <c r="A130" s="153"/>
      <c r="E130" s="144"/>
      <c r="F130" s="144"/>
      <c r="G130" s="144"/>
      <c r="H130" s="144"/>
    </row>
    <row r="131" spans="1:8" s="49" customFormat="1">
      <c r="A131" s="153"/>
      <c r="E131" s="144"/>
      <c r="F131" s="144"/>
      <c r="G131" s="144"/>
      <c r="H131" s="144"/>
    </row>
    <row r="132" spans="1:8" s="49" customFormat="1">
      <c r="A132" s="153"/>
      <c r="E132" s="144"/>
      <c r="F132" s="144"/>
      <c r="G132" s="144"/>
      <c r="H132" s="144"/>
    </row>
    <row r="133" spans="1:8" s="49" customFormat="1">
      <c r="A133" s="153"/>
      <c r="E133" s="144"/>
      <c r="F133" s="144"/>
      <c r="G133" s="144"/>
      <c r="H133" s="144"/>
    </row>
    <row r="134" spans="1:8" s="49" customFormat="1">
      <c r="A134" s="153"/>
      <c r="E134" s="144"/>
      <c r="F134" s="144"/>
      <c r="G134" s="144"/>
      <c r="H134" s="144"/>
    </row>
    <row r="135" spans="1:8" s="49" customFormat="1">
      <c r="A135" s="153"/>
      <c r="E135" s="144"/>
      <c r="F135" s="144"/>
      <c r="G135" s="144"/>
      <c r="H135" s="144"/>
    </row>
    <row r="136" spans="1:8" s="49" customFormat="1">
      <c r="A136" s="153"/>
      <c r="E136" s="144"/>
      <c r="F136" s="144"/>
      <c r="G136" s="144"/>
      <c r="H136" s="144"/>
    </row>
    <row r="137" spans="1:8" s="49" customFormat="1">
      <c r="A137" s="153"/>
      <c r="E137" s="144"/>
      <c r="F137" s="144"/>
      <c r="G137" s="144"/>
      <c r="H137" s="144"/>
    </row>
    <row r="138" spans="1:8" s="49" customFormat="1">
      <c r="A138" s="153"/>
      <c r="E138" s="144"/>
      <c r="F138" s="144"/>
      <c r="G138" s="144"/>
      <c r="H138" s="144"/>
    </row>
    <row r="139" spans="1:8" s="49" customFormat="1">
      <c r="A139" s="153"/>
      <c r="E139" s="144"/>
      <c r="F139" s="144"/>
      <c r="G139" s="144"/>
      <c r="H139" s="144"/>
    </row>
    <row r="140" spans="1:8" s="49" customFormat="1">
      <c r="A140" s="153"/>
      <c r="E140" s="144"/>
      <c r="F140" s="144"/>
      <c r="G140" s="144"/>
      <c r="H140" s="144"/>
    </row>
    <row r="141" spans="1:8" s="49" customFormat="1">
      <c r="A141" s="153"/>
      <c r="E141" s="144"/>
      <c r="F141" s="144"/>
      <c r="G141" s="144"/>
      <c r="H141" s="144"/>
    </row>
    <row r="142" spans="1:8" s="49" customFormat="1">
      <c r="A142" s="153"/>
      <c r="E142" s="144"/>
      <c r="F142" s="144"/>
      <c r="G142" s="144"/>
      <c r="H142" s="144"/>
    </row>
    <row r="143" spans="1:8" s="49" customFormat="1">
      <c r="A143" s="153"/>
      <c r="E143" s="144"/>
      <c r="F143" s="144"/>
      <c r="G143" s="144"/>
      <c r="H143" s="144"/>
    </row>
    <row r="144" spans="1:8" s="49" customFormat="1">
      <c r="A144" s="153"/>
      <c r="E144" s="144"/>
      <c r="F144" s="144"/>
      <c r="G144" s="144"/>
      <c r="H144" s="144"/>
    </row>
    <row r="145" spans="1:8" s="49" customFormat="1">
      <c r="A145" s="153"/>
      <c r="E145" s="144"/>
      <c r="F145" s="144"/>
      <c r="G145" s="144"/>
      <c r="H145" s="144"/>
    </row>
    <row r="146" spans="1:8" s="49" customFormat="1">
      <c r="A146" s="153"/>
      <c r="E146" s="144"/>
      <c r="F146" s="144"/>
      <c r="G146" s="144"/>
      <c r="H146" s="144"/>
    </row>
    <row r="147" spans="1:8" s="49" customFormat="1">
      <c r="A147" s="153"/>
      <c r="E147" s="144"/>
      <c r="F147" s="144"/>
      <c r="G147" s="144"/>
      <c r="H147" s="144"/>
    </row>
    <row r="148" spans="1:8" s="49" customFormat="1">
      <c r="A148" s="153"/>
      <c r="E148" s="144"/>
      <c r="F148" s="144"/>
      <c r="G148" s="144"/>
      <c r="H148" s="144"/>
    </row>
    <row r="149" spans="1:8" s="49" customFormat="1">
      <c r="A149" s="153"/>
      <c r="E149" s="144"/>
      <c r="F149" s="144"/>
      <c r="G149" s="144"/>
      <c r="H149" s="144"/>
    </row>
    <row r="150" spans="1:8" s="49" customFormat="1">
      <c r="A150" s="153"/>
      <c r="E150" s="144"/>
      <c r="F150" s="144"/>
      <c r="G150" s="144"/>
      <c r="H150" s="144"/>
    </row>
    <row r="151" spans="1:8" s="49" customFormat="1">
      <c r="A151" s="153"/>
      <c r="E151" s="144"/>
      <c r="F151" s="144"/>
      <c r="G151" s="144"/>
      <c r="H151" s="144"/>
    </row>
    <row r="152" spans="1:8" s="49" customFormat="1">
      <c r="A152" s="153"/>
      <c r="E152" s="144"/>
      <c r="F152" s="144"/>
      <c r="G152" s="144"/>
      <c r="H152" s="144"/>
    </row>
    <row r="153" spans="1:8" s="49" customFormat="1">
      <c r="A153" s="153"/>
      <c r="E153" s="144"/>
      <c r="F153" s="144"/>
      <c r="G153" s="144"/>
      <c r="H153" s="144"/>
    </row>
    <row r="154" spans="1:8" s="49" customFormat="1">
      <c r="A154" s="153"/>
      <c r="E154" s="144"/>
      <c r="F154" s="144"/>
      <c r="G154" s="144"/>
      <c r="H154" s="144"/>
    </row>
    <row r="155" spans="1:8" s="49" customFormat="1">
      <c r="A155" s="153"/>
      <c r="E155" s="144"/>
      <c r="F155" s="144"/>
      <c r="G155" s="144"/>
      <c r="H155" s="144"/>
    </row>
    <row r="156" spans="1:8" s="49" customFormat="1">
      <c r="A156" s="153"/>
      <c r="E156" s="144"/>
      <c r="F156" s="144"/>
      <c r="G156" s="144"/>
      <c r="H156" s="144"/>
    </row>
    <row r="157" spans="1:8" s="49" customFormat="1">
      <c r="A157" s="153"/>
      <c r="E157" s="144"/>
      <c r="F157" s="144"/>
      <c r="G157" s="144"/>
      <c r="H157" s="144"/>
    </row>
    <row r="158" spans="1:8" s="49" customFormat="1">
      <c r="A158" s="153"/>
      <c r="E158" s="144"/>
      <c r="F158" s="144"/>
      <c r="G158" s="144"/>
      <c r="H158" s="144"/>
    </row>
    <row r="159" spans="1:8" s="49" customFormat="1">
      <c r="A159" s="153"/>
      <c r="E159" s="144"/>
      <c r="F159" s="144"/>
      <c r="G159" s="144"/>
      <c r="H159" s="144"/>
    </row>
    <row r="160" spans="1:8" s="49" customFormat="1">
      <c r="A160" s="153"/>
      <c r="E160" s="144"/>
      <c r="F160" s="144"/>
      <c r="G160" s="144"/>
      <c r="H160" s="144"/>
    </row>
    <row r="161" spans="1:8" s="49" customFormat="1">
      <c r="A161" s="153"/>
      <c r="E161" s="144"/>
      <c r="F161" s="144"/>
      <c r="G161" s="144"/>
      <c r="H161" s="144"/>
    </row>
    <row r="162" spans="1:8" s="49" customFormat="1">
      <c r="A162" s="153"/>
      <c r="E162" s="144"/>
      <c r="F162" s="144"/>
      <c r="G162" s="144"/>
      <c r="H162" s="144"/>
    </row>
    <row r="163" spans="1:8" s="49" customFormat="1">
      <c r="A163" s="153"/>
      <c r="E163" s="144"/>
      <c r="F163" s="144"/>
      <c r="G163" s="144"/>
      <c r="H163" s="144"/>
    </row>
    <row r="164" spans="1:8" s="49" customFormat="1">
      <c r="A164" s="153"/>
      <c r="E164" s="144"/>
      <c r="F164" s="144"/>
      <c r="G164" s="144"/>
      <c r="H164" s="144"/>
    </row>
    <row r="165" spans="1:8" s="49" customFormat="1">
      <c r="A165" s="153"/>
      <c r="E165" s="144"/>
      <c r="F165" s="144"/>
      <c r="G165" s="144"/>
      <c r="H165" s="144"/>
    </row>
    <row r="166" spans="1:8" s="49" customFormat="1">
      <c r="A166" s="153"/>
      <c r="E166" s="144"/>
      <c r="F166" s="144"/>
      <c r="G166" s="144"/>
      <c r="H166" s="144"/>
    </row>
    <row r="167" spans="1:8" s="49" customFormat="1">
      <c r="A167" s="153"/>
      <c r="E167" s="144"/>
      <c r="F167" s="144"/>
      <c r="G167" s="144"/>
      <c r="H167" s="144"/>
    </row>
    <row r="168" spans="1:8" s="49" customFormat="1">
      <c r="A168" s="153"/>
      <c r="E168" s="144"/>
      <c r="F168" s="144"/>
      <c r="G168" s="144"/>
      <c r="H168" s="144"/>
    </row>
    <row r="169" spans="1:8" s="49" customFormat="1">
      <c r="A169" s="153"/>
      <c r="E169" s="144"/>
      <c r="F169" s="144"/>
      <c r="G169" s="144"/>
      <c r="H169" s="144"/>
    </row>
    <row r="170" spans="1:8" s="49" customFormat="1">
      <c r="A170" s="153"/>
      <c r="E170" s="144"/>
      <c r="F170" s="144"/>
      <c r="G170" s="144"/>
      <c r="H170" s="144"/>
    </row>
    <row r="171" spans="1:8" s="49" customFormat="1">
      <c r="A171" s="153"/>
      <c r="E171" s="144"/>
      <c r="F171" s="144"/>
      <c r="G171" s="144"/>
      <c r="H171" s="144"/>
    </row>
    <row r="172" spans="1:8" s="49" customFormat="1">
      <c r="A172" s="153"/>
      <c r="E172" s="144"/>
      <c r="F172" s="144"/>
      <c r="G172" s="144"/>
      <c r="H172" s="144"/>
    </row>
    <row r="173" spans="1:8" s="49" customFormat="1">
      <c r="A173" s="153"/>
      <c r="E173" s="144"/>
      <c r="F173" s="144"/>
      <c r="G173" s="144"/>
      <c r="H173" s="144"/>
    </row>
    <row r="174" spans="1:8" s="49" customFormat="1">
      <c r="A174" s="153"/>
      <c r="E174" s="144"/>
      <c r="F174" s="144"/>
      <c r="G174" s="144"/>
      <c r="H174" s="144"/>
    </row>
    <row r="175" spans="1:8" s="49" customFormat="1">
      <c r="A175" s="153"/>
      <c r="E175" s="144"/>
      <c r="F175" s="144"/>
      <c r="G175" s="144"/>
      <c r="H175" s="144"/>
    </row>
    <row r="176" spans="1:8" s="49" customFormat="1">
      <c r="A176" s="153"/>
      <c r="E176" s="144"/>
      <c r="F176" s="144"/>
      <c r="G176" s="144"/>
      <c r="H176" s="144"/>
    </row>
    <row r="177" spans="1:8" s="49" customFormat="1">
      <c r="A177" s="153"/>
      <c r="E177" s="144"/>
      <c r="F177" s="144"/>
      <c r="G177" s="144"/>
      <c r="H177" s="144"/>
    </row>
    <row r="178" spans="1:8" s="49" customFormat="1">
      <c r="A178" s="153"/>
      <c r="E178" s="144"/>
      <c r="F178" s="144"/>
      <c r="G178" s="144"/>
      <c r="H178" s="144"/>
    </row>
    <row r="179" spans="1:8" s="49" customFormat="1">
      <c r="A179" s="153"/>
      <c r="E179" s="144"/>
      <c r="F179" s="144"/>
      <c r="G179" s="144"/>
      <c r="H179" s="144"/>
    </row>
    <row r="180" spans="1:8" s="49" customFormat="1">
      <c r="A180" s="153"/>
      <c r="E180" s="144"/>
      <c r="F180" s="144"/>
      <c r="G180" s="144"/>
      <c r="H180" s="144"/>
    </row>
    <row r="181" spans="1:8" s="49" customFormat="1">
      <c r="A181" s="153"/>
      <c r="E181" s="144"/>
      <c r="F181" s="144"/>
      <c r="G181" s="144"/>
      <c r="H181" s="144"/>
    </row>
    <row r="182" spans="1:8" s="49" customFormat="1">
      <c r="A182" s="153"/>
      <c r="E182" s="144"/>
      <c r="F182" s="144"/>
      <c r="G182" s="144"/>
      <c r="H182" s="144"/>
    </row>
    <row r="183" spans="1:8" s="49" customFormat="1">
      <c r="A183" s="153"/>
      <c r="E183" s="144"/>
      <c r="F183" s="144"/>
      <c r="G183" s="144"/>
      <c r="H183" s="144"/>
    </row>
    <row r="184" spans="1:8" s="49" customFormat="1">
      <c r="A184" s="153"/>
      <c r="E184" s="144"/>
      <c r="F184" s="144"/>
      <c r="G184" s="144"/>
      <c r="H184" s="144"/>
    </row>
    <row r="185" spans="1:8" s="49" customFormat="1">
      <c r="A185" s="153"/>
      <c r="E185" s="144"/>
      <c r="F185" s="144"/>
      <c r="G185" s="144"/>
      <c r="H185" s="144"/>
    </row>
    <row r="186" spans="1:8" s="49" customFormat="1">
      <c r="A186" s="153"/>
      <c r="E186" s="144"/>
      <c r="F186" s="144"/>
      <c r="G186" s="144"/>
      <c r="H186" s="144"/>
    </row>
    <row r="187" spans="1:8" s="49" customFormat="1">
      <c r="A187" s="153"/>
      <c r="E187" s="144"/>
      <c r="F187" s="144"/>
      <c r="G187" s="144"/>
      <c r="H187" s="144"/>
    </row>
    <row r="188" spans="1:8" s="49" customFormat="1">
      <c r="A188" s="153"/>
      <c r="E188" s="144"/>
      <c r="F188" s="144"/>
      <c r="G188" s="144"/>
      <c r="H188" s="144"/>
    </row>
    <row r="189" spans="1:8" s="49" customFormat="1">
      <c r="A189" s="153"/>
      <c r="E189" s="144"/>
      <c r="F189" s="144"/>
      <c r="G189" s="144"/>
      <c r="H189" s="144"/>
    </row>
    <row r="190" spans="1:8" s="49" customFormat="1">
      <c r="A190" s="153"/>
      <c r="E190" s="144"/>
      <c r="F190" s="144"/>
      <c r="G190" s="144"/>
      <c r="H190" s="144"/>
    </row>
    <row r="191" spans="1:8" s="49" customFormat="1">
      <c r="A191" s="153"/>
      <c r="E191" s="144"/>
      <c r="F191" s="144"/>
      <c r="G191" s="144"/>
      <c r="H191" s="144"/>
    </row>
    <row r="192" spans="1:8" s="49" customFormat="1">
      <c r="A192" s="153"/>
      <c r="E192" s="144"/>
      <c r="F192" s="144"/>
      <c r="G192" s="144"/>
      <c r="H192" s="144"/>
    </row>
    <row r="193" spans="1:8" s="49" customFormat="1">
      <c r="A193" s="153"/>
      <c r="E193" s="144"/>
      <c r="F193" s="144"/>
      <c r="G193" s="144"/>
      <c r="H193" s="144"/>
    </row>
    <row r="194" spans="1:8" s="49" customFormat="1">
      <c r="A194" s="153"/>
      <c r="E194" s="144"/>
      <c r="F194" s="144"/>
      <c r="G194" s="144"/>
      <c r="H194" s="144"/>
    </row>
    <row r="195" spans="1:8" s="49" customFormat="1">
      <c r="A195" s="153"/>
      <c r="E195" s="144"/>
      <c r="F195" s="144"/>
      <c r="G195" s="144"/>
      <c r="H195" s="144"/>
    </row>
    <row r="196" spans="1:8" s="49" customFormat="1">
      <c r="A196" s="153"/>
      <c r="E196" s="144"/>
      <c r="F196" s="144"/>
      <c r="G196" s="144"/>
      <c r="H196" s="144"/>
    </row>
    <row r="197" spans="1:8" s="49" customFormat="1">
      <c r="A197" s="153"/>
      <c r="E197" s="144"/>
      <c r="F197" s="144"/>
      <c r="G197" s="144"/>
      <c r="H197" s="144"/>
    </row>
    <row r="198" spans="1:8" s="49" customFormat="1">
      <c r="A198" s="153"/>
      <c r="E198" s="144"/>
      <c r="F198" s="144"/>
      <c r="G198" s="144"/>
      <c r="H198" s="144"/>
    </row>
    <row r="199" spans="1:8" s="49" customFormat="1">
      <c r="A199" s="153"/>
      <c r="E199" s="144"/>
      <c r="F199" s="144"/>
      <c r="G199" s="144"/>
      <c r="H199" s="144"/>
    </row>
    <row r="200" spans="1:8" s="49" customFormat="1">
      <c r="A200" s="153"/>
      <c r="E200" s="144"/>
      <c r="F200" s="144"/>
      <c r="G200" s="144"/>
      <c r="H200" s="144"/>
    </row>
    <row r="201" spans="1:8" s="49" customFormat="1">
      <c r="A201" s="153"/>
      <c r="E201" s="144"/>
      <c r="F201" s="144"/>
      <c r="G201" s="144"/>
      <c r="H201" s="144"/>
    </row>
    <row r="202" spans="1:8" s="49" customFormat="1">
      <c r="A202" s="153"/>
      <c r="E202" s="144"/>
      <c r="F202" s="144"/>
      <c r="G202" s="144"/>
      <c r="H202" s="144"/>
    </row>
    <row r="203" spans="1:8" s="49" customFormat="1">
      <c r="A203" s="153"/>
      <c r="E203" s="144"/>
      <c r="F203" s="144"/>
      <c r="G203" s="144"/>
      <c r="H203" s="144"/>
    </row>
    <row r="204" spans="1:8" s="49" customFormat="1">
      <c r="A204" s="153"/>
      <c r="E204" s="144"/>
      <c r="F204" s="144"/>
      <c r="G204" s="144"/>
      <c r="H204" s="144"/>
    </row>
    <row r="205" spans="1:8" s="49" customFormat="1">
      <c r="A205" s="153"/>
      <c r="E205" s="144"/>
      <c r="F205" s="144"/>
      <c r="G205" s="144"/>
      <c r="H205" s="144"/>
    </row>
    <row r="206" spans="1:8" s="49" customFormat="1">
      <c r="A206" s="153"/>
      <c r="E206" s="144"/>
      <c r="F206" s="144"/>
      <c r="G206" s="144"/>
      <c r="H206" s="144"/>
    </row>
    <row r="207" spans="1:8" s="49" customFormat="1">
      <c r="A207" s="153"/>
      <c r="E207" s="144"/>
      <c r="F207" s="144"/>
      <c r="G207" s="144"/>
      <c r="H207" s="144"/>
    </row>
    <row r="208" spans="1:8" s="49" customFormat="1">
      <c r="A208" s="153"/>
      <c r="E208" s="144"/>
      <c r="F208" s="144"/>
      <c r="G208" s="144"/>
      <c r="H208" s="144"/>
    </row>
    <row r="209" spans="1:8" s="49" customFormat="1">
      <c r="A209" s="153"/>
      <c r="E209" s="144"/>
      <c r="F209" s="144"/>
      <c r="G209" s="144"/>
      <c r="H209" s="144"/>
    </row>
    <row r="210" spans="1:8" s="49" customFormat="1">
      <c r="A210" s="153"/>
      <c r="E210" s="144"/>
      <c r="F210" s="144"/>
      <c r="G210" s="144"/>
      <c r="H210" s="144"/>
    </row>
    <row r="211" spans="1:8" s="49" customFormat="1">
      <c r="A211" s="153"/>
      <c r="E211" s="144"/>
      <c r="F211" s="144"/>
      <c r="G211" s="144"/>
      <c r="H211" s="144"/>
    </row>
    <row r="212" spans="1:8" s="49" customFormat="1">
      <c r="A212" s="153"/>
      <c r="E212" s="144"/>
      <c r="F212" s="144"/>
      <c r="G212" s="144"/>
      <c r="H212" s="144"/>
    </row>
    <row r="213" spans="1:8" s="49" customFormat="1">
      <c r="A213" s="153"/>
      <c r="E213" s="144"/>
      <c r="F213" s="144"/>
      <c r="G213" s="144"/>
      <c r="H213" s="144"/>
    </row>
    <row r="214" spans="1:8" s="49" customFormat="1">
      <c r="A214" s="153"/>
      <c r="E214" s="144"/>
      <c r="F214" s="144"/>
      <c r="G214" s="144"/>
      <c r="H214" s="144"/>
    </row>
    <row r="215" spans="1:8" s="49" customFormat="1">
      <c r="A215" s="153"/>
      <c r="E215" s="144"/>
      <c r="F215" s="144"/>
      <c r="G215" s="144"/>
      <c r="H215" s="144"/>
    </row>
    <row r="216" spans="1:8" s="49" customFormat="1">
      <c r="A216" s="153"/>
      <c r="E216" s="144"/>
      <c r="F216" s="144"/>
      <c r="G216" s="144"/>
      <c r="H216" s="144"/>
    </row>
    <row r="217" spans="1:8" s="49" customFormat="1">
      <c r="A217" s="153"/>
      <c r="E217" s="144"/>
      <c r="F217" s="144"/>
      <c r="G217" s="144"/>
      <c r="H217" s="144"/>
    </row>
    <row r="218" spans="1:8" s="49" customFormat="1">
      <c r="A218" s="153"/>
      <c r="E218" s="144"/>
      <c r="F218" s="144"/>
      <c r="G218" s="144"/>
      <c r="H218" s="144"/>
    </row>
    <row r="219" spans="1:8" s="49" customFormat="1">
      <c r="A219" s="153"/>
      <c r="E219" s="144"/>
      <c r="F219" s="144"/>
      <c r="G219" s="144"/>
      <c r="H219" s="144"/>
    </row>
    <row r="220" spans="1:8" s="49" customFormat="1">
      <c r="A220" s="153"/>
      <c r="E220" s="144"/>
      <c r="F220" s="144"/>
      <c r="G220" s="144"/>
      <c r="H220" s="144"/>
    </row>
    <row r="221" spans="1:8" s="49" customFormat="1">
      <c r="A221" s="153"/>
      <c r="E221" s="144"/>
      <c r="F221" s="144"/>
      <c r="G221" s="144"/>
      <c r="H221" s="144"/>
    </row>
    <row r="222" spans="1:8" s="49" customFormat="1">
      <c r="A222" s="153"/>
      <c r="E222" s="144"/>
      <c r="F222" s="144"/>
      <c r="G222" s="144"/>
      <c r="H222" s="144"/>
    </row>
    <row r="223" spans="1:8" s="49" customFormat="1">
      <c r="A223" s="153"/>
      <c r="E223" s="144"/>
      <c r="F223" s="144"/>
      <c r="G223" s="144"/>
      <c r="H223" s="144"/>
    </row>
    <row r="224" spans="1:8" s="49" customFormat="1">
      <c r="A224" s="153"/>
      <c r="E224" s="144"/>
      <c r="F224" s="144"/>
      <c r="G224" s="144"/>
      <c r="H224" s="144"/>
    </row>
    <row r="225" spans="1:8" s="49" customFormat="1">
      <c r="A225" s="153"/>
      <c r="E225" s="144"/>
      <c r="F225" s="144"/>
      <c r="G225" s="144"/>
      <c r="H225" s="144"/>
    </row>
    <row r="226" spans="1:8" s="49" customFormat="1">
      <c r="A226" s="153"/>
      <c r="E226" s="144"/>
      <c r="F226" s="144"/>
      <c r="G226" s="144"/>
      <c r="H226" s="144"/>
    </row>
    <row r="227" spans="1:8" s="49" customFormat="1">
      <c r="A227" s="153"/>
      <c r="E227" s="144"/>
      <c r="F227" s="144"/>
      <c r="G227" s="144"/>
      <c r="H227" s="144"/>
    </row>
    <row r="228" spans="1:8" s="49" customFormat="1">
      <c r="A228" s="153"/>
      <c r="E228" s="144"/>
      <c r="F228" s="144"/>
      <c r="G228" s="144"/>
      <c r="H228" s="144"/>
    </row>
    <row r="229" spans="1:8" s="49" customFormat="1">
      <c r="A229" s="153"/>
      <c r="E229" s="144"/>
      <c r="F229" s="144"/>
      <c r="G229" s="144"/>
      <c r="H229" s="144"/>
    </row>
    <row r="230" spans="1:8" s="49" customFormat="1">
      <c r="A230" s="153"/>
      <c r="E230" s="144"/>
      <c r="F230" s="144"/>
      <c r="G230" s="144"/>
      <c r="H230" s="144"/>
    </row>
    <row r="231" spans="1:8" s="49" customFormat="1">
      <c r="A231" s="153"/>
      <c r="E231" s="144"/>
      <c r="F231" s="144"/>
      <c r="G231" s="144"/>
      <c r="H231" s="144"/>
    </row>
    <row r="232" spans="1:8" s="49" customFormat="1">
      <c r="A232" s="153"/>
      <c r="E232" s="144"/>
      <c r="F232" s="144"/>
      <c r="G232" s="144"/>
      <c r="H232" s="144"/>
    </row>
    <row r="233" spans="1:8" s="49" customFormat="1">
      <c r="A233" s="153"/>
      <c r="E233" s="144"/>
      <c r="F233" s="144"/>
      <c r="G233" s="144"/>
      <c r="H233" s="144"/>
    </row>
    <row r="234" spans="1:8" s="49" customFormat="1">
      <c r="A234" s="153"/>
      <c r="E234" s="144"/>
      <c r="F234" s="144"/>
      <c r="G234" s="144"/>
      <c r="H234" s="144"/>
    </row>
    <row r="235" spans="1:8" s="49" customFormat="1">
      <c r="A235" s="153"/>
      <c r="E235" s="144"/>
      <c r="F235" s="144"/>
      <c r="G235" s="144"/>
      <c r="H235" s="144"/>
    </row>
    <row r="236" spans="1:8" s="49" customFormat="1">
      <c r="A236" s="153"/>
      <c r="E236" s="144"/>
      <c r="F236" s="144"/>
      <c r="G236" s="144"/>
      <c r="H236" s="144"/>
    </row>
    <row r="237" spans="1:8" s="49" customFormat="1">
      <c r="A237" s="153"/>
      <c r="E237" s="144"/>
      <c r="F237" s="144"/>
      <c r="G237" s="144"/>
      <c r="H237" s="144"/>
    </row>
    <row r="238" spans="1:8" s="49" customFormat="1">
      <c r="A238" s="153"/>
      <c r="E238" s="144"/>
      <c r="F238" s="144"/>
      <c r="G238" s="144"/>
      <c r="H238" s="144"/>
    </row>
    <row r="239" spans="1:8" s="49" customFormat="1">
      <c r="A239" s="153"/>
      <c r="E239" s="144"/>
      <c r="F239" s="144"/>
      <c r="G239" s="144"/>
      <c r="H239" s="144"/>
    </row>
    <row r="240" spans="1:8" s="49" customFormat="1">
      <c r="A240" s="153"/>
      <c r="E240" s="144"/>
      <c r="F240" s="144"/>
      <c r="G240" s="144"/>
      <c r="H240" s="144"/>
    </row>
    <row r="241" spans="1:8" s="49" customFormat="1">
      <c r="A241" s="153"/>
      <c r="E241" s="144"/>
      <c r="F241" s="144"/>
      <c r="G241" s="144"/>
      <c r="H241" s="144"/>
    </row>
    <row r="242" spans="1:8" s="49" customFormat="1">
      <c r="A242" s="153"/>
      <c r="E242" s="144"/>
      <c r="F242" s="144"/>
      <c r="G242" s="144"/>
      <c r="H242" s="144"/>
    </row>
    <row r="243" spans="1:8" s="49" customFormat="1">
      <c r="A243" s="153"/>
      <c r="E243" s="144"/>
      <c r="F243" s="144"/>
      <c r="G243" s="144"/>
      <c r="H243" s="144"/>
    </row>
    <row r="244" spans="1:8" s="49" customFormat="1">
      <c r="A244" s="153"/>
      <c r="E244" s="144"/>
      <c r="F244" s="144"/>
      <c r="G244" s="144"/>
      <c r="H244" s="144"/>
    </row>
    <row r="245" spans="1:8" s="49" customFormat="1">
      <c r="A245" s="153"/>
      <c r="E245" s="144"/>
      <c r="F245" s="144"/>
      <c r="G245" s="144"/>
      <c r="H245" s="144"/>
    </row>
    <row r="246" spans="1:8" s="49" customFormat="1">
      <c r="A246" s="153"/>
      <c r="E246" s="144"/>
      <c r="F246" s="144"/>
      <c r="G246" s="144"/>
      <c r="H246" s="144"/>
    </row>
    <row r="247" spans="1:8" s="49" customFormat="1">
      <c r="A247" s="153"/>
      <c r="E247" s="144"/>
      <c r="F247" s="144"/>
      <c r="G247" s="144"/>
      <c r="H247" s="144"/>
    </row>
    <row r="248" spans="1:8" s="49" customFormat="1">
      <c r="A248" s="153"/>
      <c r="E248" s="144"/>
      <c r="F248" s="144"/>
      <c r="G248" s="144"/>
      <c r="H248" s="144"/>
    </row>
    <row r="249" spans="1:8" s="49" customFormat="1">
      <c r="A249" s="153"/>
      <c r="E249" s="144"/>
      <c r="F249" s="144"/>
      <c r="G249" s="144"/>
      <c r="H249" s="144"/>
    </row>
    <row r="250" spans="1:8" s="49" customFormat="1">
      <c r="A250" s="153"/>
      <c r="E250" s="144"/>
      <c r="F250" s="144"/>
      <c r="G250" s="144"/>
      <c r="H250" s="144"/>
    </row>
    <row r="251" spans="1:8" s="49" customFormat="1">
      <c r="A251" s="153"/>
      <c r="E251" s="144"/>
      <c r="F251" s="144"/>
      <c r="G251" s="144"/>
      <c r="H251" s="144"/>
    </row>
  </sheetData>
  <mergeCells count="17">
    <mergeCell ref="A44:H44"/>
    <mergeCell ref="A2:H2"/>
    <mergeCell ref="A1:H1"/>
    <mergeCell ref="A4:A5"/>
    <mergeCell ref="B4:B5"/>
    <mergeCell ref="A7:H7"/>
    <mergeCell ref="E4:H4"/>
    <mergeCell ref="C4:D4"/>
    <mergeCell ref="C100:D100"/>
    <mergeCell ref="G100:H100"/>
    <mergeCell ref="C99:D99"/>
    <mergeCell ref="A78:H78"/>
    <mergeCell ref="A51:H51"/>
    <mergeCell ref="A69:H69"/>
    <mergeCell ref="C79:D79"/>
    <mergeCell ref="G99:I99"/>
    <mergeCell ref="E79:H7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AE341"/>
  <sheetViews>
    <sheetView view="pageBreakPreview" topLeftCell="A64" zoomScale="70" zoomScaleNormal="100" zoomScaleSheetLayoutView="70" workbookViewId="0">
      <selection activeCell="F6" sqref="F6"/>
    </sheetView>
  </sheetViews>
  <sheetFormatPr defaultRowHeight="18.75"/>
  <cols>
    <col min="1" max="1" width="9.140625" style="33"/>
    <col min="2" max="2" width="51.5703125" style="33" customWidth="1"/>
    <col min="3" max="3" width="12" style="135" customWidth="1"/>
    <col min="4" max="4" width="16.140625" style="166" customWidth="1"/>
    <col min="5" max="5" width="16.7109375" style="166" customWidth="1"/>
    <col min="6" max="6" width="16.140625" style="135" customWidth="1"/>
    <col min="7" max="7" width="16.140625" style="33" customWidth="1"/>
    <col min="8" max="8" width="17.5703125" style="33" customWidth="1"/>
    <col min="9" max="9" width="9.140625" style="33"/>
    <col min="10" max="10" width="12" style="33" bestFit="1" customWidth="1"/>
    <col min="11" max="11" width="10.5703125" style="33" bestFit="1" customWidth="1"/>
    <col min="12" max="12" width="10.28515625" style="33" bestFit="1" customWidth="1"/>
    <col min="13" max="13" width="10.5703125" style="33" bestFit="1" customWidth="1"/>
    <col min="14" max="16384" width="9.140625" style="33"/>
  </cols>
  <sheetData>
    <row r="2" spans="1:31" ht="20.25">
      <c r="B2" s="246" t="s">
        <v>103</v>
      </c>
      <c r="C2" s="246"/>
      <c r="D2" s="246"/>
      <c r="E2" s="246"/>
      <c r="F2" s="246"/>
    </row>
    <row r="3" spans="1:31">
      <c r="B3" s="123"/>
      <c r="C3" s="124"/>
      <c r="D3" s="123"/>
      <c r="E3" s="123"/>
      <c r="F3" s="123"/>
      <c r="H3" s="33" t="s">
        <v>65</v>
      </c>
    </row>
    <row r="4" spans="1:31" ht="81" customHeight="1">
      <c r="A4" s="128" t="s">
        <v>76</v>
      </c>
      <c r="B4" s="128" t="s">
        <v>23</v>
      </c>
      <c r="C4" s="88" t="s">
        <v>5</v>
      </c>
      <c r="D4" s="88" t="s">
        <v>303</v>
      </c>
      <c r="E4" s="88" t="s">
        <v>306</v>
      </c>
      <c r="F4" s="88" t="s">
        <v>305</v>
      </c>
      <c r="G4" s="88" t="s">
        <v>112</v>
      </c>
      <c r="H4" s="88" t="s">
        <v>114</v>
      </c>
    </row>
    <row r="5" spans="1:31" ht="24" customHeight="1">
      <c r="A5" s="128">
        <v>1</v>
      </c>
      <c r="B5" s="128">
        <v>2</v>
      </c>
      <c r="C5" s="88">
        <v>3</v>
      </c>
      <c r="D5" s="88">
        <v>4</v>
      </c>
      <c r="E5" s="88">
        <v>5</v>
      </c>
      <c r="F5" s="88">
        <v>6</v>
      </c>
      <c r="G5" s="128">
        <v>7</v>
      </c>
      <c r="H5" s="128">
        <v>8</v>
      </c>
    </row>
    <row r="6" spans="1:31" ht="30.75" customHeight="1">
      <c r="A6" s="253" t="s">
        <v>75</v>
      </c>
      <c r="B6" s="253"/>
      <c r="C6" s="88"/>
      <c r="D6" s="129">
        <f>D7+D12+D23+D25</f>
        <v>45960.800000000003</v>
      </c>
      <c r="E6" s="129">
        <f>E7+E12+E23+E25</f>
        <v>44680.800000000003</v>
      </c>
      <c r="F6" s="129">
        <f>F7+F12+F23+F25</f>
        <v>53156.7</v>
      </c>
      <c r="G6" s="128"/>
      <c r="H6" s="128"/>
    </row>
    <row r="7" spans="1:31" ht="62.25" customHeight="1">
      <c r="A7" s="254" t="s">
        <v>74</v>
      </c>
      <c r="B7" s="254"/>
      <c r="C7" s="87">
        <v>1000</v>
      </c>
      <c r="D7" s="24">
        <f>SUM(D8:D11)</f>
        <v>33642.400000000001</v>
      </c>
      <c r="E7" s="24">
        <f>SUM(E8:E11)</f>
        <v>38601.300000000003</v>
      </c>
      <c r="F7" s="24">
        <f>SUM(F8:F11)</f>
        <v>43181.1</v>
      </c>
      <c r="G7" s="111">
        <f>F7-E7</f>
        <v>4579.7999999999956</v>
      </c>
      <c r="H7" s="111">
        <f>(F7/E7)*100</f>
        <v>111.86436726224245</v>
      </c>
    </row>
    <row r="8" spans="1:31" ht="45" customHeight="1">
      <c r="A8" s="82">
        <v>1</v>
      </c>
      <c r="B8" s="77" t="s">
        <v>214</v>
      </c>
      <c r="C8" s="87"/>
      <c r="D8" s="26">
        <v>32690.1</v>
      </c>
      <c r="E8" s="26">
        <v>36381.300000000003</v>
      </c>
      <c r="F8" s="26">
        <v>42612.1</v>
      </c>
      <c r="G8" s="111">
        <f t="shared" ref="G8:G10" si="0">F8-E8</f>
        <v>6230.7999999999956</v>
      </c>
      <c r="H8" s="111">
        <f t="shared" ref="H8:H10" si="1">(F8/E8)*100</f>
        <v>117.12638086049701</v>
      </c>
    </row>
    <row r="9" spans="1:31" ht="57" customHeight="1">
      <c r="A9" s="82">
        <v>2</v>
      </c>
      <c r="B9" s="77" t="s">
        <v>276</v>
      </c>
      <c r="C9" s="87"/>
      <c r="D9" s="26">
        <v>526.79999999999995</v>
      </c>
      <c r="E9" s="26">
        <v>1665</v>
      </c>
      <c r="F9" s="26">
        <v>357.8</v>
      </c>
      <c r="G9" s="111">
        <f t="shared" si="0"/>
        <v>-1307.2</v>
      </c>
      <c r="H9" s="111">
        <f t="shared" si="1"/>
        <v>21.48948948948949</v>
      </c>
    </row>
    <row r="10" spans="1:31" ht="37.5" customHeight="1">
      <c r="A10" s="82">
        <v>3</v>
      </c>
      <c r="B10" s="77" t="s">
        <v>215</v>
      </c>
      <c r="C10" s="87"/>
      <c r="D10" s="26">
        <v>206.6</v>
      </c>
      <c r="E10" s="26">
        <v>300</v>
      </c>
      <c r="F10" s="26">
        <v>50.1</v>
      </c>
      <c r="G10" s="111">
        <f t="shared" si="0"/>
        <v>-249.9</v>
      </c>
      <c r="H10" s="111">
        <f t="shared" si="1"/>
        <v>16.7</v>
      </c>
    </row>
    <row r="11" spans="1:31" ht="78.75" customHeight="1">
      <c r="A11" s="82">
        <v>4</v>
      </c>
      <c r="B11" s="77" t="s">
        <v>216</v>
      </c>
      <c r="C11" s="88"/>
      <c r="D11" s="26">
        <v>218.9</v>
      </c>
      <c r="E11" s="26">
        <v>255</v>
      </c>
      <c r="F11" s="26">
        <v>161.1</v>
      </c>
      <c r="G11" s="111">
        <f>F11-E11</f>
        <v>-93.9</v>
      </c>
      <c r="H11" s="111">
        <f>(F11/E11)*100</f>
        <v>63.17647058823529</v>
      </c>
    </row>
    <row r="12" spans="1:31" ht="30.75" customHeight="1">
      <c r="A12" s="241" t="s">
        <v>35</v>
      </c>
      <c r="B12" s="241"/>
      <c r="C12" s="87">
        <v>1040</v>
      </c>
      <c r="D12" s="24">
        <f>SUM(D13:D22)</f>
        <v>11165.499999999998</v>
      </c>
      <c r="E12" s="24">
        <f>SUM(E13:E22)</f>
        <v>6068.3</v>
      </c>
      <c r="F12" s="24">
        <f>SUM(F13:F22)</f>
        <v>8527.1</v>
      </c>
      <c r="G12" s="110">
        <f>F12-E12</f>
        <v>2458.8000000000002</v>
      </c>
      <c r="H12" s="110">
        <f>(F12/E12)*100</f>
        <v>140.51876143236163</v>
      </c>
      <c r="J12" s="33">
        <v>8527</v>
      </c>
    </row>
    <row r="13" spans="1:31" ht="55.5" customHeight="1">
      <c r="A13" s="78">
        <v>1</v>
      </c>
      <c r="B13" s="77" t="s">
        <v>217</v>
      </c>
      <c r="C13" s="87"/>
      <c r="D13" s="26">
        <v>131.5</v>
      </c>
      <c r="E13" s="26"/>
      <c r="F13" s="26">
        <v>0</v>
      </c>
      <c r="G13" s="111">
        <f t="shared" ref="G13:G22" si="2">F13-E13</f>
        <v>0</v>
      </c>
      <c r="H13" s="179" t="e">
        <f t="shared" ref="H13:H22" si="3">(F13/E13)*100</f>
        <v>#DIV/0!</v>
      </c>
      <c r="AE13" s="33" t="s">
        <v>252</v>
      </c>
    </row>
    <row r="14" spans="1:31" ht="57" customHeight="1">
      <c r="A14" s="78">
        <v>2</v>
      </c>
      <c r="B14" s="77" t="s">
        <v>218</v>
      </c>
      <c r="C14" s="87"/>
      <c r="D14" s="26">
        <v>29.8</v>
      </c>
      <c r="E14" s="26">
        <v>69.599999999999994</v>
      </c>
      <c r="F14" s="24"/>
      <c r="G14" s="111">
        <f t="shared" si="2"/>
        <v>-69.599999999999994</v>
      </c>
      <c r="H14" s="111">
        <f t="shared" si="3"/>
        <v>0</v>
      </c>
    </row>
    <row r="15" spans="1:31" ht="49.5" customHeight="1">
      <c r="A15" s="82">
        <v>3</v>
      </c>
      <c r="B15" s="77" t="s">
        <v>253</v>
      </c>
      <c r="C15" s="87"/>
      <c r="D15" s="26">
        <v>8314.2999999999993</v>
      </c>
      <c r="E15" s="26">
        <v>5899.2</v>
      </c>
      <c r="F15" s="26">
        <v>6834</v>
      </c>
      <c r="G15" s="111">
        <f t="shared" si="2"/>
        <v>934.80000000000018</v>
      </c>
      <c r="H15" s="111">
        <f t="shared" si="3"/>
        <v>115.84621643612694</v>
      </c>
    </row>
    <row r="16" spans="1:31" ht="60.75" customHeight="1">
      <c r="A16" s="82">
        <v>5</v>
      </c>
      <c r="B16" s="77" t="s">
        <v>281</v>
      </c>
      <c r="C16" s="87"/>
      <c r="D16" s="26">
        <v>1229.7</v>
      </c>
      <c r="E16" s="26"/>
      <c r="F16" s="26">
        <v>497.3</v>
      </c>
      <c r="G16" s="111">
        <f t="shared" si="2"/>
        <v>497.3</v>
      </c>
      <c r="H16" s="179" t="e">
        <f t="shared" si="3"/>
        <v>#DIV/0!</v>
      </c>
    </row>
    <row r="17" spans="1:8" ht="63" customHeight="1">
      <c r="A17" s="82">
        <v>6</v>
      </c>
      <c r="B17" s="77" t="s">
        <v>219</v>
      </c>
      <c r="C17" s="87"/>
      <c r="D17" s="26"/>
      <c r="E17" s="26">
        <v>12</v>
      </c>
      <c r="F17" s="24"/>
      <c r="G17" s="111">
        <f t="shared" si="2"/>
        <v>-12</v>
      </c>
      <c r="H17" s="111">
        <f t="shared" si="3"/>
        <v>0</v>
      </c>
    </row>
    <row r="18" spans="1:8" ht="30.75" customHeight="1">
      <c r="A18" s="82">
        <v>7</v>
      </c>
      <c r="B18" s="77" t="s">
        <v>220</v>
      </c>
      <c r="C18" s="87"/>
      <c r="D18" s="26"/>
      <c r="E18" s="26">
        <v>87.5</v>
      </c>
      <c r="F18" s="24"/>
      <c r="G18" s="111">
        <f t="shared" si="2"/>
        <v>-87.5</v>
      </c>
      <c r="H18" s="111">
        <f t="shared" si="3"/>
        <v>0</v>
      </c>
    </row>
    <row r="19" spans="1:8" ht="51" customHeight="1">
      <c r="A19" s="82">
        <v>8</v>
      </c>
      <c r="B19" s="77" t="s">
        <v>221</v>
      </c>
      <c r="C19" s="87"/>
      <c r="D19" s="26">
        <v>91.9</v>
      </c>
      <c r="E19" s="26"/>
      <c r="F19" s="26">
        <v>262.10000000000002</v>
      </c>
      <c r="G19" s="111">
        <f t="shared" si="2"/>
        <v>262.10000000000002</v>
      </c>
      <c r="H19" s="179" t="e">
        <f t="shared" si="3"/>
        <v>#DIV/0!</v>
      </c>
    </row>
    <row r="20" spans="1:8" ht="30.75" customHeight="1">
      <c r="A20" s="82">
        <v>9</v>
      </c>
      <c r="B20" s="77" t="s">
        <v>222</v>
      </c>
      <c r="C20" s="87"/>
      <c r="D20" s="26">
        <v>1367.9</v>
      </c>
      <c r="E20" s="26"/>
      <c r="F20" s="26">
        <f>900.7+33</f>
        <v>933.7</v>
      </c>
      <c r="G20" s="111">
        <f t="shared" si="2"/>
        <v>933.7</v>
      </c>
      <c r="H20" s="179" t="e">
        <f t="shared" si="3"/>
        <v>#DIV/0!</v>
      </c>
    </row>
    <row r="21" spans="1:8" ht="40.5" customHeight="1">
      <c r="A21" s="82">
        <v>10</v>
      </c>
      <c r="B21" s="77" t="s">
        <v>277</v>
      </c>
      <c r="C21" s="87"/>
      <c r="D21" s="26">
        <v>0.4</v>
      </c>
      <c r="E21" s="26"/>
      <c r="F21" s="26"/>
      <c r="G21" s="111">
        <f t="shared" si="2"/>
        <v>0</v>
      </c>
      <c r="H21" s="179" t="e">
        <f t="shared" si="3"/>
        <v>#DIV/0!</v>
      </c>
    </row>
    <row r="22" spans="1:8" ht="44.25" customHeight="1">
      <c r="A22" s="82">
        <v>11</v>
      </c>
      <c r="B22" s="77" t="s">
        <v>223</v>
      </c>
      <c r="C22" s="87"/>
      <c r="D22" s="26"/>
      <c r="E22" s="26"/>
      <c r="F22" s="26"/>
      <c r="G22" s="111">
        <f t="shared" si="2"/>
        <v>0</v>
      </c>
      <c r="H22" s="179" t="e">
        <f t="shared" si="3"/>
        <v>#DIV/0!</v>
      </c>
    </row>
    <row r="23" spans="1:8" ht="30.75" customHeight="1">
      <c r="A23" s="241" t="s">
        <v>77</v>
      </c>
      <c r="B23" s="241"/>
      <c r="C23" s="87">
        <v>1130</v>
      </c>
      <c r="D23" s="24">
        <f>D24</f>
        <v>18.399999999999999</v>
      </c>
      <c r="E23" s="24">
        <f>E24</f>
        <v>11.2</v>
      </c>
      <c r="F23" s="24">
        <f>F24</f>
        <v>35.700000000000003</v>
      </c>
      <c r="G23" s="110">
        <f>F23-E23</f>
        <v>24.500000000000004</v>
      </c>
      <c r="H23" s="110">
        <f>(F23/E23)*100</f>
        <v>318.75000000000006</v>
      </c>
    </row>
    <row r="24" spans="1:8" ht="45" customHeight="1">
      <c r="A24" s="82">
        <v>1</v>
      </c>
      <c r="B24" s="86" t="s">
        <v>224</v>
      </c>
      <c r="C24" s="88"/>
      <c r="D24" s="26">
        <v>18.399999999999999</v>
      </c>
      <c r="E24" s="26">
        <v>11.2</v>
      </c>
      <c r="F24" s="26">
        <v>35.700000000000003</v>
      </c>
      <c r="G24" s="111">
        <f>F24-E24</f>
        <v>24.500000000000004</v>
      </c>
      <c r="H24" s="111">
        <f>(F24/E24)*100</f>
        <v>318.75000000000006</v>
      </c>
    </row>
    <row r="25" spans="1:8" ht="30.75" customHeight="1">
      <c r="A25" s="241" t="s">
        <v>27</v>
      </c>
      <c r="B25" s="241"/>
      <c r="C25" s="87">
        <v>1150</v>
      </c>
      <c r="D25" s="24">
        <f>SUM(D26:D31)</f>
        <v>1134.5</v>
      </c>
      <c r="E25" s="24">
        <f>SUM(E26:E31)</f>
        <v>0</v>
      </c>
      <c r="F25" s="24">
        <f>SUM(F26:F31)</f>
        <v>1412.8</v>
      </c>
      <c r="G25" s="110">
        <f>F25-E25</f>
        <v>1412.8</v>
      </c>
      <c r="H25" s="178" t="e">
        <f>(F25/E25)*100</f>
        <v>#DIV/0!</v>
      </c>
    </row>
    <row r="26" spans="1:8" ht="42" customHeight="1">
      <c r="A26" s="128">
        <v>1</v>
      </c>
      <c r="B26" s="77" t="s">
        <v>223</v>
      </c>
      <c r="C26" s="87"/>
      <c r="D26" s="26"/>
      <c r="E26" s="24"/>
      <c r="F26" s="26">
        <v>9.5</v>
      </c>
      <c r="G26" s="111">
        <f t="shared" ref="G26:G30" si="4">F26-E26</f>
        <v>9.5</v>
      </c>
      <c r="H26" s="179" t="e">
        <f t="shared" ref="H26:H30" si="5">(F26/E26)*100</f>
        <v>#DIV/0!</v>
      </c>
    </row>
    <row r="27" spans="1:8" ht="47.25" customHeight="1">
      <c r="A27" s="128">
        <v>2</v>
      </c>
      <c r="B27" s="77" t="s">
        <v>277</v>
      </c>
      <c r="C27" s="87"/>
      <c r="D27" s="26">
        <v>1.2</v>
      </c>
      <c r="E27" s="24"/>
      <c r="F27" s="26">
        <v>21.1</v>
      </c>
      <c r="G27" s="111">
        <f t="shared" si="4"/>
        <v>21.1</v>
      </c>
      <c r="H27" s="179" t="e">
        <f t="shared" si="5"/>
        <v>#DIV/0!</v>
      </c>
    </row>
    <row r="28" spans="1:8" ht="62.25" customHeight="1">
      <c r="A28" s="128">
        <v>3</v>
      </c>
      <c r="B28" s="77" t="s">
        <v>369</v>
      </c>
      <c r="C28" s="87"/>
      <c r="D28" s="26"/>
      <c r="E28" s="24"/>
      <c r="F28" s="26">
        <f>11.5+4.2</f>
        <v>15.7</v>
      </c>
      <c r="G28" s="111">
        <f t="shared" si="4"/>
        <v>15.7</v>
      </c>
      <c r="H28" s="179" t="e">
        <f t="shared" si="5"/>
        <v>#DIV/0!</v>
      </c>
    </row>
    <row r="29" spans="1:8" ht="27" customHeight="1">
      <c r="A29" s="128">
        <v>4</v>
      </c>
      <c r="B29" s="77" t="s">
        <v>220</v>
      </c>
      <c r="C29" s="87"/>
      <c r="D29" s="26">
        <v>14.5</v>
      </c>
      <c r="E29" s="24"/>
      <c r="F29" s="26">
        <v>39.9</v>
      </c>
      <c r="G29" s="111">
        <f t="shared" si="4"/>
        <v>39.9</v>
      </c>
      <c r="H29" s="179" t="e">
        <f t="shared" si="5"/>
        <v>#DIV/0!</v>
      </c>
    </row>
    <row r="30" spans="1:8" ht="29.25" customHeight="1">
      <c r="A30" s="128">
        <v>5</v>
      </c>
      <c r="B30" s="77" t="s">
        <v>370</v>
      </c>
      <c r="C30" s="87"/>
      <c r="D30" s="26"/>
      <c r="E30" s="24"/>
      <c r="F30" s="26">
        <v>1.8</v>
      </c>
      <c r="G30" s="111">
        <f t="shared" si="4"/>
        <v>1.8</v>
      </c>
      <c r="H30" s="179" t="e">
        <f t="shared" si="5"/>
        <v>#DIV/0!</v>
      </c>
    </row>
    <row r="31" spans="1:8" ht="39" customHeight="1">
      <c r="A31" s="128">
        <v>6</v>
      </c>
      <c r="B31" s="77" t="s">
        <v>247</v>
      </c>
      <c r="C31" s="87"/>
      <c r="D31" s="26">
        <v>1118.8</v>
      </c>
      <c r="E31" s="24"/>
      <c r="F31" s="26">
        <v>1324.8</v>
      </c>
      <c r="G31" s="111">
        <f>F31-E31</f>
        <v>1324.8</v>
      </c>
      <c r="H31" s="179" t="e">
        <f>(F31/E31)*100</f>
        <v>#DIV/0!</v>
      </c>
    </row>
    <row r="32" spans="1:8" ht="35.25" customHeight="1">
      <c r="A32" s="249" t="s">
        <v>78</v>
      </c>
      <c r="B32" s="250"/>
      <c r="C32" s="87"/>
      <c r="D32" s="24"/>
      <c r="E32" s="24"/>
      <c r="F32" s="24"/>
      <c r="G32" s="110"/>
      <c r="H32" s="110"/>
    </row>
    <row r="33" spans="1:13" ht="48" customHeight="1">
      <c r="A33" s="242" t="s">
        <v>79</v>
      </c>
      <c r="B33" s="243"/>
      <c r="C33" s="88"/>
      <c r="D33" s="24">
        <f>D34+D48</f>
        <v>12080.099999999999</v>
      </c>
      <c r="E33" s="24">
        <f>E34+E48</f>
        <v>12119.2</v>
      </c>
      <c r="F33" s="24">
        <f>F34+F48</f>
        <v>12034.5</v>
      </c>
      <c r="G33" s="110"/>
      <c r="H33" s="110"/>
    </row>
    <row r="34" spans="1:13" ht="34.5" customHeight="1">
      <c r="A34" s="251" t="s">
        <v>80</v>
      </c>
      <c r="B34" s="252"/>
      <c r="C34" s="87">
        <v>1011</v>
      </c>
      <c r="D34" s="24">
        <f>SUM(D35:D47)</f>
        <v>8638.7999999999993</v>
      </c>
      <c r="E34" s="24">
        <f>SUM(E35:E47)</f>
        <v>6069.3</v>
      </c>
      <c r="F34" s="24">
        <f>SUM(F35:F47)</f>
        <v>6832.7</v>
      </c>
      <c r="G34" s="110">
        <f>F34-E34</f>
        <v>763.39999999999964</v>
      </c>
      <c r="H34" s="110">
        <f>(F34/E34)*100</f>
        <v>112.57805677755259</v>
      </c>
    </row>
    <row r="35" spans="1:13" ht="41.25" customHeight="1">
      <c r="A35" s="137"/>
      <c r="B35" s="77" t="s">
        <v>197</v>
      </c>
      <c r="C35" s="87"/>
      <c r="D35" s="26">
        <v>2390.1999999999998</v>
      </c>
      <c r="E35" s="168">
        <v>2000</v>
      </c>
      <c r="F35" s="26">
        <v>2138</v>
      </c>
      <c r="G35" s="110">
        <f t="shared" ref="G35:G44" si="6">F35-E35</f>
        <v>138</v>
      </c>
      <c r="H35" s="110">
        <f t="shared" ref="H35:H44" si="7">(F35/E35)*100</f>
        <v>106.89999999999999</v>
      </c>
      <c r="J35" s="138"/>
      <c r="M35" s="138"/>
    </row>
    <row r="36" spans="1:13" ht="55.5" customHeight="1">
      <c r="A36" s="137"/>
      <c r="B36" s="77" t="s">
        <v>196</v>
      </c>
      <c r="C36" s="87"/>
      <c r="D36" s="26">
        <v>187.6</v>
      </c>
      <c r="E36" s="168"/>
      <c r="F36" s="26">
        <v>2</v>
      </c>
      <c r="G36" s="110">
        <f t="shared" si="6"/>
        <v>2</v>
      </c>
      <c r="H36" s="178" t="e">
        <f t="shared" si="7"/>
        <v>#DIV/0!</v>
      </c>
      <c r="J36" s="138"/>
    </row>
    <row r="37" spans="1:13" ht="27.75" customHeight="1">
      <c r="A37" s="137"/>
      <c r="B37" s="77" t="s">
        <v>200</v>
      </c>
      <c r="C37" s="87"/>
      <c r="D37" s="26">
        <v>41</v>
      </c>
      <c r="E37" s="168"/>
      <c r="F37" s="26">
        <v>165.4</v>
      </c>
      <c r="G37" s="110">
        <f t="shared" si="6"/>
        <v>165.4</v>
      </c>
      <c r="H37" s="178" t="e">
        <f t="shared" si="7"/>
        <v>#DIV/0!</v>
      </c>
      <c r="J37" s="138"/>
    </row>
    <row r="38" spans="1:13" ht="27.75" customHeight="1">
      <c r="A38" s="137"/>
      <c r="B38" s="77" t="s">
        <v>201</v>
      </c>
      <c r="C38" s="87"/>
      <c r="D38" s="26">
        <v>162.30000000000001</v>
      </c>
      <c r="E38" s="168"/>
      <c r="F38" s="26">
        <v>4.5999999999999996</v>
      </c>
      <c r="G38" s="110">
        <f t="shared" si="6"/>
        <v>4.5999999999999996</v>
      </c>
      <c r="H38" s="178" t="e">
        <f t="shared" si="7"/>
        <v>#DIV/0!</v>
      </c>
      <c r="J38" s="138"/>
    </row>
    <row r="39" spans="1:13" ht="27.75" customHeight="1">
      <c r="A39" s="137"/>
      <c r="B39" s="86" t="s">
        <v>225</v>
      </c>
      <c r="C39" s="87"/>
      <c r="D39" s="26">
        <v>3551.1</v>
      </c>
      <c r="E39" s="169">
        <v>3290</v>
      </c>
      <c r="F39" s="26">
        <v>3786.6</v>
      </c>
      <c r="G39" s="110">
        <f t="shared" si="6"/>
        <v>496.59999999999991</v>
      </c>
      <c r="H39" s="110">
        <f t="shared" si="7"/>
        <v>115.09422492401215</v>
      </c>
    </row>
    <row r="40" spans="1:13" ht="56.25" customHeight="1">
      <c r="A40" s="137"/>
      <c r="B40" s="86" t="s">
        <v>198</v>
      </c>
      <c r="C40" s="87"/>
      <c r="D40" s="26">
        <v>1665.7</v>
      </c>
      <c r="E40" s="169"/>
      <c r="F40" s="26"/>
      <c r="G40" s="110">
        <f t="shared" si="6"/>
        <v>0</v>
      </c>
      <c r="H40" s="178" t="e">
        <f t="shared" si="7"/>
        <v>#DIV/0!</v>
      </c>
    </row>
    <row r="41" spans="1:13" ht="27.75" customHeight="1">
      <c r="A41" s="162"/>
      <c r="B41" s="86" t="s">
        <v>371</v>
      </c>
      <c r="C41" s="87"/>
      <c r="D41" s="26"/>
      <c r="E41" s="169"/>
      <c r="F41" s="26">
        <v>146.4</v>
      </c>
      <c r="G41" s="110">
        <f t="shared" si="6"/>
        <v>146.4</v>
      </c>
      <c r="H41" s="178" t="e">
        <f t="shared" si="7"/>
        <v>#DIV/0!</v>
      </c>
    </row>
    <row r="42" spans="1:13" ht="27.75" customHeight="1">
      <c r="A42" s="137"/>
      <c r="B42" s="77" t="s">
        <v>141</v>
      </c>
      <c r="C42" s="87"/>
      <c r="D42" s="26">
        <v>219.9</v>
      </c>
      <c r="E42" s="169">
        <v>352</v>
      </c>
      <c r="F42" s="26">
        <v>255.8</v>
      </c>
      <c r="G42" s="110">
        <f t="shared" si="6"/>
        <v>-96.199999999999989</v>
      </c>
      <c r="H42" s="110">
        <f t="shared" si="7"/>
        <v>72.670454545454547</v>
      </c>
    </row>
    <row r="43" spans="1:13" ht="28.5" customHeight="1">
      <c r="A43" s="137"/>
      <c r="B43" s="86" t="s">
        <v>142</v>
      </c>
      <c r="C43" s="87"/>
      <c r="D43" s="26">
        <v>95.1</v>
      </c>
      <c r="E43" s="169">
        <v>109</v>
      </c>
      <c r="F43" s="26">
        <v>1.9</v>
      </c>
      <c r="G43" s="110">
        <f t="shared" si="6"/>
        <v>-107.1</v>
      </c>
      <c r="H43" s="110">
        <f t="shared" si="7"/>
        <v>1.7431192660550456</v>
      </c>
    </row>
    <row r="44" spans="1:13" ht="27.75" customHeight="1">
      <c r="A44" s="137"/>
      <c r="B44" s="86" t="s">
        <v>184</v>
      </c>
      <c r="C44" s="87"/>
      <c r="D44" s="26">
        <v>52.4</v>
      </c>
      <c r="E44" s="169">
        <v>62.6</v>
      </c>
      <c r="F44" s="26">
        <v>45.4</v>
      </c>
      <c r="G44" s="110">
        <f t="shared" si="6"/>
        <v>-17.200000000000003</v>
      </c>
      <c r="H44" s="110">
        <f t="shared" si="7"/>
        <v>72.523961661341858</v>
      </c>
    </row>
    <row r="45" spans="1:13" ht="67.5" customHeight="1">
      <c r="A45" s="139"/>
      <c r="B45" s="77" t="s">
        <v>226</v>
      </c>
      <c r="C45" s="88"/>
      <c r="D45" s="26">
        <v>129.69999999999999</v>
      </c>
      <c r="E45" s="169">
        <v>209.7</v>
      </c>
      <c r="F45" s="26">
        <v>246.5</v>
      </c>
      <c r="G45" s="111">
        <f>F45-E45</f>
        <v>36.800000000000011</v>
      </c>
      <c r="H45" s="111">
        <f>(F45/E45)*100</f>
        <v>117.54887935145446</v>
      </c>
    </row>
    <row r="46" spans="1:13" ht="79.5" customHeight="1">
      <c r="A46" s="139"/>
      <c r="B46" s="77" t="s">
        <v>282</v>
      </c>
      <c r="C46" s="88"/>
      <c r="D46" s="26">
        <v>119.8</v>
      </c>
      <c r="E46" s="169"/>
      <c r="F46" s="26"/>
      <c r="G46" s="111">
        <f t="shared" ref="G46:G47" si="8">F46-E46</f>
        <v>0</v>
      </c>
      <c r="H46" s="179" t="e">
        <f t="shared" ref="H46:H47" si="9">(F46/E46)*100</f>
        <v>#DIV/0!</v>
      </c>
    </row>
    <row r="47" spans="1:13" ht="44.25" customHeight="1">
      <c r="A47" s="139"/>
      <c r="B47" s="77" t="s">
        <v>167</v>
      </c>
      <c r="C47" s="88"/>
      <c r="D47" s="26">
        <v>24</v>
      </c>
      <c r="E47" s="169">
        <v>46</v>
      </c>
      <c r="F47" s="26">
        <v>40.1</v>
      </c>
      <c r="G47" s="111">
        <f t="shared" si="8"/>
        <v>-5.8999999999999986</v>
      </c>
      <c r="H47" s="111">
        <f t="shared" si="9"/>
        <v>87.173913043478265</v>
      </c>
    </row>
    <row r="48" spans="1:13" ht="35.25" customHeight="1">
      <c r="A48" s="251" t="s">
        <v>81</v>
      </c>
      <c r="B48" s="252"/>
      <c r="C48" s="87">
        <v>1015</v>
      </c>
      <c r="D48" s="24">
        <f>SUM(D49:D76)</f>
        <v>3441.2999999999997</v>
      </c>
      <c r="E48" s="24">
        <f>SUM(E49:E76)</f>
        <v>6049.9</v>
      </c>
      <c r="F48" s="24">
        <f>SUM(F49:F76)</f>
        <v>5201.8</v>
      </c>
      <c r="G48" s="110">
        <f>F48-E48</f>
        <v>-848.09999999999945</v>
      </c>
      <c r="H48" s="110">
        <f>(F48/E48)*100</f>
        <v>85.981586472503693</v>
      </c>
    </row>
    <row r="49" spans="1:11" ht="30.75" customHeight="1">
      <c r="A49" s="137"/>
      <c r="B49" s="81" t="s">
        <v>148</v>
      </c>
      <c r="C49" s="87"/>
      <c r="D49" s="26">
        <v>23.2</v>
      </c>
      <c r="E49" s="26">
        <v>24.6</v>
      </c>
      <c r="F49" s="26">
        <v>3.7</v>
      </c>
      <c r="G49" s="110">
        <f t="shared" ref="G49:G55" si="10">F49-E49</f>
        <v>-20.900000000000002</v>
      </c>
      <c r="H49" s="110">
        <f t="shared" ref="H49:H55" si="11">(F49/E49)*100</f>
        <v>15.040650406504064</v>
      </c>
      <c r="K49" s="138"/>
    </row>
    <row r="50" spans="1:11" ht="30.75" customHeight="1">
      <c r="A50" s="137"/>
      <c r="B50" s="77" t="s">
        <v>149</v>
      </c>
      <c r="C50" s="87"/>
      <c r="D50" s="26">
        <v>114.6</v>
      </c>
      <c r="E50" s="26">
        <v>170</v>
      </c>
      <c r="F50" s="26">
        <v>81.5</v>
      </c>
      <c r="G50" s="110">
        <f t="shared" si="10"/>
        <v>-88.5</v>
      </c>
      <c r="H50" s="110">
        <f t="shared" si="11"/>
        <v>47.941176470588239</v>
      </c>
    </row>
    <row r="51" spans="1:11" ht="30.75" customHeight="1">
      <c r="A51" s="137"/>
      <c r="B51" s="77" t="s">
        <v>150</v>
      </c>
      <c r="C51" s="87"/>
      <c r="D51" s="24">
        <v>23.8</v>
      </c>
      <c r="E51" s="26">
        <v>74.5</v>
      </c>
      <c r="F51" s="26">
        <v>48.9</v>
      </c>
      <c r="G51" s="110">
        <f t="shared" si="10"/>
        <v>-25.6</v>
      </c>
      <c r="H51" s="110">
        <f t="shared" si="11"/>
        <v>65.637583892617442</v>
      </c>
    </row>
    <row r="52" spans="1:11" ht="30.75" customHeight="1">
      <c r="A52" s="137"/>
      <c r="B52" s="77" t="s">
        <v>151</v>
      </c>
      <c r="C52" s="87"/>
      <c r="D52" s="26">
        <v>18</v>
      </c>
      <c r="E52" s="26">
        <v>24.5</v>
      </c>
      <c r="F52" s="26">
        <v>20.3</v>
      </c>
      <c r="G52" s="110">
        <f t="shared" si="10"/>
        <v>-4.1999999999999993</v>
      </c>
      <c r="H52" s="110">
        <f t="shared" si="11"/>
        <v>82.857142857142861</v>
      </c>
    </row>
    <row r="53" spans="1:11" ht="30.75" customHeight="1">
      <c r="A53" s="137"/>
      <c r="B53" s="77" t="s">
        <v>152</v>
      </c>
      <c r="C53" s="87"/>
      <c r="D53" s="26">
        <v>137</v>
      </c>
      <c r="E53" s="26">
        <v>252</v>
      </c>
      <c r="F53" s="26">
        <v>72.8</v>
      </c>
      <c r="G53" s="110">
        <f t="shared" si="10"/>
        <v>-179.2</v>
      </c>
      <c r="H53" s="110">
        <f t="shared" si="11"/>
        <v>28.888888888888886</v>
      </c>
    </row>
    <row r="54" spans="1:11" ht="35.25" customHeight="1">
      <c r="A54" s="137"/>
      <c r="B54" s="77" t="s">
        <v>186</v>
      </c>
      <c r="C54" s="87"/>
      <c r="D54" s="26">
        <v>54.5</v>
      </c>
      <c r="E54" s="26">
        <v>36</v>
      </c>
      <c r="F54" s="26">
        <v>64</v>
      </c>
      <c r="G54" s="110">
        <f t="shared" si="10"/>
        <v>28</v>
      </c>
      <c r="H54" s="110">
        <f t="shared" si="11"/>
        <v>177.77777777777777</v>
      </c>
    </row>
    <row r="55" spans="1:11" ht="35.25" customHeight="1">
      <c r="A55" s="137"/>
      <c r="B55" s="81" t="s">
        <v>153</v>
      </c>
      <c r="C55" s="87"/>
      <c r="D55" s="26">
        <v>71.5</v>
      </c>
      <c r="E55" s="26">
        <v>369.2</v>
      </c>
      <c r="F55" s="26">
        <v>136.9</v>
      </c>
      <c r="G55" s="110">
        <f t="shared" si="10"/>
        <v>-232.29999999999998</v>
      </c>
      <c r="H55" s="110">
        <f t="shared" si="11"/>
        <v>37.080173347778981</v>
      </c>
    </row>
    <row r="56" spans="1:11" ht="35.25" customHeight="1">
      <c r="A56" s="140"/>
      <c r="B56" s="81" t="s">
        <v>154</v>
      </c>
      <c r="C56" s="88"/>
      <c r="D56" s="26">
        <v>23.5</v>
      </c>
      <c r="E56" s="26">
        <v>54.7</v>
      </c>
      <c r="F56" s="26">
        <v>42</v>
      </c>
      <c r="G56" s="111">
        <f>F56-E56</f>
        <v>-12.700000000000003</v>
      </c>
      <c r="H56" s="111">
        <f>(F56/E56)*100</f>
        <v>76.782449725776956</v>
      </c>
    </row>
    <row r="57" spans="1:11" ht="35.25" customHeight="1">
      <c r="A57" s="140"/>
      <c r="B57" s="81" t="s">
        <v>168</v>
      </c>
      <c r="C57" s="88"/>
      <c r="D57" s="26">
        <v>1.7</v>
      </c>
      <c r="E57" s="26">
        <v>1.6</v>
      </c>
      <c r="F57" s="26">
        <v>0.8</v>
      </c>
      <c r="G57" s="111">
        <f t="shared" ref="G57:G76" si="12">F57-E57</f>
        <v>-0.8</v>
      </c>
      <c r="H57" s="111">
        <f t="shared" ref="H57:H76" si="13">(F57/E57)*100</f>
        <v>50</v>
      </c>
    </row>
    <row r="58" spans="1:11" ht="35.25" customHeight="1">
      <c r="A58" s="140"/>
      <c r="B58" s="77" t="s">
        <v>227</v>
      </c>
      <c r="C58" s="88"/>
      <c r="D58" s="26">
        <v>41.8</v>
      </c>
      <c r="E58" s="26">
        <v>36</v>
      </c>
      <c r="F58" s="26">
        <v>37.799999999999997</v>
      </c>
      <c r="G58" s="111">
        <f t="shared" si="12"/>
        <v>1.7999999999999972</v>
      </c>
      <c r="H58" s="111">
        <f t="shared" si="13"/>
        <v>104.99999999999999</v>
      </c>
    </row>
    <row r="59" spans="1:11" ht="35.25" customHeight="1">
      <c r="A59" s="140"/>
      <c r="B59" s="77" t="s">
        <v>156</v>
      </c>
      <c r="C59" s="88"/>
      <c r="D59" s="26">
        <v>16.399999999999999</v>
      </c>
      <c r="E59" s="26">
        <v>18.399999999999999</v>
      </c>
      <c r="F59" s="26">
        <v>6.7</v>
      </c>
      <c r="G59" s="111">
        <f t="shared" si="12"/>
        <v>-11.7</v>
      </c>
      <c r="H59" s="111">
        <f t="shared" si="13"/>
        <v>36.413043478260875</v>
      </c>
    </row>
    <row r="60" spans="1:11" ht="39.75" customHeight="1">
      <c r="A60" s="140"/>
      <c r="B60" s="81" t="s">
        <v>170</v>
      </c>
      <c r="C60" s="88"/>
      <c r="D60" s="26">
        <v>10.9</v>
      </c>
      <c r="E60" s="26">
        <v>22</v>
      </c>
      <c r="F60" s="26"/>
      <c r="G60" s="111">
        <f t="shared" si="12"/>
        <v>-22</v>
      </c>
      <c r="H60" s="111">
        <f t="shared" si="13"/>
        <v>0</v>
      </c>
    </row>
    <row r="61" spans="1:11" ht="42" customHeight="1">
      <c r="A61" s="140"/>
      <c r="B61" s="81" t="s">
        <v>172</v>
      </c>
      <c r="C61" s="88"/>
      <c r="D61" s="26"/>
      <c r="E61" s="26"/>
      <c r="F61" s="26">
        <v>9.1</v>
      </c>
      <c r="G61" s="111">
        <f t="shared" si="12"/>
        <v>9.1</v>
      </c>
      <c r="H61" s="179" t="e">
        <f t="shared" si="13"/>
        <v>#DIV/0!</v>
      </c>
    </row>
    <row r="62" spans="1:11" ht="35.25" customHeight="1">
      <c r="A62" s="140"/>
      <c r="B62" s="93" t="s">
        <v>228</v>
      </c>
      <c r="C62" s="88"/>
      <c r="D62" s="26">
        <v>171.7</v>
      </c>
      <c r="E62" s="26">
        <v>72</v>
      </c>
      <c r="F62" s="26">
        <v>166</v>
      </c>
      <c r="G62" s="111">
        <f t="shared" si="12"/>
        <v>94</v>
      </c>
      <c r="H62" s="111">
        <f t="shared" si="13"/>
        <v>230.55555555555554</v>
      </c>
    </row>
    <row r="63" spans="1:11" ht="55.5" customHeight="1">
      <c r="A63" s="140"/>
      <c r="B63" s="77" t="s">
        <v>187</v>
      </c>
      <c r="C63" s="88"/>
      <c r="D63" s="26"/>
      <c r="E63" s="26">
        <v>6.6</v>
      </c>
      <c r="F63" s="26">
        <v>4.3</v>
      </c>
      <c r="G63" s="111">
        <f t="shared" si="12"/>
        <v>-2.2999999999999998</v>
      </c>
      <c r="H63" s="111">
        <f t="shared" si="13"/>
        <v>65.151515151515156</v>
      </c>
    </row>
    <row r="64" spans="1:11" ht="33.75" customHeight="1">
      <c r="A64" s="140"/>
      <c r="B64" s="77" t="s">
        <v>283</v>
      </c>
      <c r="C64" s="88"/>
      <c r="D64" s="26">
        <v>5.6</v>
      </c>
      <c r="E64" s="26"/>
      <c r="F64" s="26"/>
      <c r="G64" s="111">
        <f t="shared" si="12"/>
        <v>0</v>
      </c>
      <c r="H64" s="179" t="e">
        <f t="shared" si="13"/>
        <v>#DIV/0!</v>
      </c>
    </row>
    <row r="65" spans="1:12" ht="35.25" customHeight="1">
      <c r="A65" s="140"/>
      <c r="B65" s="77" t="s">
        <v>262</v>
      </c>
      <c r="C65" s="88"/>
      <c r="D65" s="26">
        <v>7.2</v>
      </c>
      <c r="E65" s="26">
        <v>2.1</v>
      </c>
      <c r="F65" s="26"/>
      <c r="G65" s="111">
        <f t="shared" si="12"/>
        <v>-2.1</v>
      </c>
      <c r="H65" s="111">
        <f t="shared" si="13"/>
        <v>0</v>
      </c>
    </row>
    <row r="66" spans="1:12" ht="30.75" customHeight="1">
      <c r="A66" s="140"/>
      <c r="B66" s="81" t="s">
        <v>175</v>
      </c>
      <c r="C66" s="88"/>
      <c r="D66" s="26">
        <v>0.3</v>
      </c>
      <c r="E66" s="26">
        <v>3</v>
      </c>
      <c r="F66" s="26"/>
      <c r="G66" s="111">
        <f t="shared" si="12"/>
        <v>-3</v>
      </c>
      <c r="H66" s="111">
        <f t="shared" si="13"/>
        <v>0</v>
      </c>
    </row>
    <row r="67" spans="1:12" ht="33" customHeight="1">
      <c r="A67" s="140"/>
      <c r="B67" s="89" t="s">
        <v>176</v>
      </c>
      <c r="C67" s="88"/>
      <c r="D67" s="26">
        <v>1590.5</v>
      </c>
      <c r="E67" s="26">
        <v>3000.1</v>
      </c>
      <c r="F67" s="26">
        <v>2590.3000000000002</v>
      </c>
      <c r="G67" s="111">
        <f t="shared" si="12"/>
        <v>-409.79999999999973</v>
      </c>
      <c r="H67" s="111">
        <f t="shared" si="13"/>
        <v>86.340455318156074</v>
      </c>
    </row>
    <row r="68" spans="1:12" ht="31.5" customHeight="1">
      <c r="A68" s="140"/>
      <c r="B68" s="90" t="s">
        <v>177</v>
      </c>
      <c r="C68" s="88"/>
      <c r="D68" s="26">
        <v>230.3</v>
      </c>
      <c r="E68" s="26">
        <v>244.2</v>
      </c>
      <c r="F68" s="26">
        <v>146.5</v>
      </c>
      <c r="G68" s="111">
        <f t="shared" si="12"/>
        <v>-97.699999999999989</v>
      </c>
      <c r="H68" s="111">
        <f t="shared" si="13"/>
        <v>59.991809991809994</v>
      </c>
    </row>
    <row r="69" spans="1:12" ht="27.75" customHeight="1">
      <c r="A69" s="140"/>
      <c r="B69" s="91" t="s">
        <v>178</v>
      </c>
      <c r="C69" s="88"/>
      <c r="D69" s="26">
        <v>814.9</v>
      </c>
      <c r="E69" s="26">
        <v>1567.3</v>
      </c>
      <c r="F69" s="26">
        <v>1708.7</v>
      </c>
      <c r="G69" s="111">
        <f t="shared" si="12"/>
        <v>141.40000000000009</v>
      </c>
      <c r="H69" s="111">
        <f t="shared" si="13"/>
        <v>109.0218847699866</v>
      </c>
    </row>
    <row r="70" spans="1:12" ht="30" customHeight="1">
      <c r="A70" s="140"/>
      <c r="B70" s="90" t="s">
        <v>179</v>
      </c>
      <c r="C70" s="88"/>
      <c r="D70" s="26">
        <v>57.3</v>
      </c>
      <c r="E70" s="26">
        <v>63.1</v>
      </c>
      <c r="F70" s="26">
        <v>61.5</v>
      </c>
      <c r="G70" s="111">
        <f t="shared" si="12"/>
        <v>-1.6000000000000014</v>
      </c>
      <c r="H70" s="111">
        <f t="shared" si="13"/>
        <v>97.46434231378764</v>
      </c>
    </row>
    <row r="71" spans="1:12" ht="30.75" customHeight="1">
      <c r="A71" s="140"/>
      <c r="B71" s="90" t="s">
        <v>260</v>
      </c>
      <c r="C71" s="88"/>
      <c r="D71" s="26">
        <v>1.7</v>
      </c>
      <c r="E71" s="26"/>
      <c r="F71" s="26"/>
      <c r="G71" s="111">
        <f t="shared" si="12"/>
        <v>0</v>
      </c>
      <c r="H71" s="179" t="e">
        <f t="shared" si="13"/>
        <v>#DIV/0!</v>
      </c>
    </row>
    <row r="72" spans="1:12" ht="29.25" customHeight="1">
      <c r="A72" s="140"/>
      <c r="B72" s="90" t="s">
        <v>261</v>
      </c>
      <c r="C72" s="88"/>
      <c r="D72" s="26">
        <v>2.6</v>
      </c>
      <c r="E72" s="26"/>
      <c r="F72" s="26"/>
      <c r="G72" s="111">
        <f t="shared" si="12"/>
        <v>0</v>
      </c>
      <c r="H72" s="179" t="e">
        <f t="shared" si="13"/>
        <v>#DIV/0!</v>
      </c>
      <c r="L72" s="138"/>
    </row>
    <row r="73" spans="1:12" ht="30.75" customHeight="1">
      <c r="A73" s="140"/>
      <c r="B73" s="90" t="s">
        <v>274</v>
      </c>
      <c r="C73" s="88"/>
      <c r="D73" s="26">
        <v>1.6</v>
      </c>
      <c r="E73" s="26">
        <v>1</v>
      </c>
      <c r="F73" s="26"/>
      <c r="G73" s="111">
        <f t="shared" si="12"/>
        <v>-1</v>
      </c>
      <c r="H73" s="111">
        <f t="shared" si="13"/>
        <v>0</v>
      </c>
    </row>
    <row r="74" spans="1:12" ht="30.75" customHeight="1">
      <c r="A74" s="140"/>
      <c r="B74" s="90" t="s">
        <v>284</v>
      </c>
      <c r="C74" s="88"/>
      <c r="D74" s="26">
        <v>4</v>
      </c>
      <c r="E74" s="26"/>
      <c r="F74" s="26"/>
      <c r="G74" s="111">
        <f t="shared" si="12"/>
        <v>0</v>
      </c>
      <c r="H74" s="179" t="e">
        <f t="shared" si="13"/>
        <v>#DIV/0!</v>
      </c>
    </row>
    <row r="75" spans="1:12" ht="31.5" customHeight="1">
      <c r="A75" s="140"/>
      <c r="B75" s="90" t="s">
        <v>285</v>
      </c>
      <c r="C75" s="88"/>
      <c r="D75" s="26">
        <v>16.7</v>
      </c>
      <c r="E75" s="26"/>
      <c r="F75" s="26"/>
      <c r="G75" s="111">
        <f t="shared" si="12"/>
        <v>0</v>
      </c>
      <c r="H75" s="179" t="e">
        <f t="shared" si="13"/>
        <v>#DIV/0!</v>
      </c>
    </row>
    <row r="76" spans="1:12" ht="33" customHeight="1">
      <c r="A76" s="140"/>
      <c r="B76" s="77" t="s">
        <v>180</v>
      </c>
      <c r="C76" s="88"/>
      <c r="D76" s="26"/>
      <c r="E76" s="26">
        <v>7</v>
      </c>
      <c r="F76" s="26"/>
      <c r="G76" s="111">
        <f t="shared" si="12"/>
        <v>-7</v>
      </c>
      <c r="H76" s="111">
        <f t="shared" si="13"/>
        <v>0</v>
      </c>
    </row>
    <row r="77" spans="1:12" s="114" customFormat="1" ht="39" customHeight="1">
      <c r="A77" s="242" t="s">
        <v>82</v>
      </c>
      <c r="B77" s="243"/>
      <c r="C77" s="141"/>
      <c r="D77" s="24">
        <f>D78+D82</f>
        <v>120.39999999999999</v>
      </c>
      <c r="E77" s="24">
        <f>E78+E82</f>
        <v>188</v>
      </c>
      <c r="F77" s="24">
        <f>F78+F82</f>
        <v>219.99999999999997</v>
      </c>
      <c r="G77" s="110"/>
      <c r="H77" s="110"/>
    </row>
    <row r="78" spans="1:12" s="114" customFormat="1" ht="32.25" customHeight="1">
      <c r="A78" s="251" t="s">
        <v>80</v>
      </c>
      <c r="B78" s="252"/>
      <c r="C78" s="87">
        <v>1021</v>
      </c>
      <c r="D78" s="24">
        <f>D79+D81+D80</f>
        <v>15.2</v>
      </c>
      <c r="E78" s="24">
        <f>E79</f>
        <v>26</v>
      </c>
      <c r="F78" s="24">
        <f>SUM(F79:F81)</f>
        <v>25.1</v>
      </c>
      <c r="G78" s="110">
        <f>F78-E78</f>
        <v>-0.89999999999999858</v>
      </c>
      <c r="H78" s="110">
        <f>(F78/E78)*100</f>
        <v>96.538461538461533</v>
      </c>
    </row>
    <row r="79" spans="1:12" s="114" customFormat="1" ht="73.5" customHeight="1">
      <c r="A79" s="137"/>
      <c r="B79" s="77" t="s">
        <v>226</v>
      </c>
      <c r="C79" s="87"/>
      <c r="D79" s="26">
        <v>1.2</v>
      </c>
      <c r="E79" s="26">
        <v>26</v>
      </c>
      <c r="F79" s="26">
        <v>1.3</v>
      </c>
      <c r="G79" s="110">
        <f t="shared" ref="G79:G81" si="14">F79-E79</f>
        <v>-24.7</v>
      </c>
      <c r="H79" s="110">
        <f t="shared" ref="H79:H81" si="15">(F79/E79)*100</f>
        <v>5</v>
      </c>
      <c r="K79" s="142"/>
    </row>
    <row r="80" spans="1:12" s="114" customFormat="1" ht="73.5" customHeight="1">
      <c r="A80" s="159"/>
      <c r="B80" s="77" t="s">
        <v>282</v>
      </c>
      <c r="C80" s="87"/>
      <c r="D80" s="26">
        <v>8</v>
      </c>
      <c r="E80" s="26"/>
      <c r="F80" s="26"/>
      <c r="G80" s="110">
        <f t="shared" si="14"/>
        <v>0</v>
      </c>
      <c r="H80" s="178" t="e">
        <f t="shared" si="15"/>
        <v>#DIV/0!</v>
      </c>
      <c r="K80" s="142"/>
    </row>
    <row r="81" spans="1:13" s="114" customFormat="1" ht="40.5" customHeight="1">
      <c r="A81" s="137"/>
      <c r="B81" s="77" t="s">
        <v>167</v>
      </c>
      <c r="C81" s="87"/>
      <c r="D81" s="26">
        <v>6</v>
      </c>
      <c r="E81" s="26"/>
      <c r="F81" s="26">
        <v>23.8</v>
      </c>
      <c r="G81" s="110">
        <f t="shared" si="14"/>
        <v>23.8</v>
      </c>
      <c r="H81" s="178" t="e">
        <f t="shared" si="15"/>
        <v>#DIV/0!</v>
      </c>
    </row>
    <row r="82" spans="1:13" s="114" customFormat="1" ht="31.5" customHeight="1">
      <c r="A82" s="251" t="s">
        <v>83</v>
      </c>
      <c r="B82" s="252"/>
      <c r="C82" s="141">
        <v>1025</v>
      </c>
      <c r="D82" s="24">
        <f>SUM(D83:D101)</f>
        <v>105.19999999999999</v>
      </c>
      <c r="E82" s="24">
        <f>SUM(E83:E101)</f>
        <v>162</v>
      </c>
      <c r="F82" s="24">
        <f>SUM(F83:F101)</f>
        <v>194.89999999999998</v>
      </c>
      <c r="G82" s="110">
        <f>F82-E82</f>
        <v>32.899999999999977</v>
      </c>
      <c r="H82" s="110">
        <f>(F82/E82)*100</f>
        <v>120.30864197530863</v>
      </c>
    </row>
    <row r="83" spans="1:13" s="114" customFormat="1" ht="31.5" customHeight="1">
      <c r="A83" s="137"/>
      <c r="B83" s="77" t="s">
        <v>156</v>
      </c>
      <c r="C83" s="141"/>
      <c r="D83" s="26">
        <v>4.8</v>
      </c>
      <c r="E83" s="26">
        <v>10.199999999999999</v>
      </c>
      <c r="F83" s="26">
        <v>16.2</v>
      </c>
      <c r="G83" s="110">
        <f t="shared" ref="G83:G101" si="16">F83-E83</f>
        <v>6</v>
      </c>
      <c r="H83" s="110">
        <f t="shared" ref="H83:H101" si="17">(F83/E83)*100</f>
        <v>158.82352941176472</v>
      </c>
      <c r="J83" s="142"/>
    </row>
    <row r="84" spans="1:13" s="114" customFormat="1" ht="31.5" customHeight="1">
      <c r="A84" s="137"/>
      <c r="B84" s="77" t="s">
        <v>162</v>
      </c>
      <c r="C84" s="141"/>
      <c r="D84" s="26">
        <v>1.9</v>
      </c>
      <c r="E84" s="26">
        <v>1.8</v>
      </c>
      <c r="F84" s="26">
        <v>2</v>
      </c>
      <c r="G84" s="110">
        <f t="shared" si="16"/>
        <v>0.19999999999999996</v>
      </c>
      <c r="H84" s="110">
        <f t="shared" si="17"/>
        <v>111.11111111111111</v>
      </c>
      <c r="M84" s="142"/>
    </row>
    <row r="85" spans="1:13" s="114" customFormat="1" ht="52.5" customHeight="1">
      <c r="A85" s="137"/>
      <c r="B85" s="77" t="s">
        <v>172</v>
      </c>
      <c r="C85" s="141"/>
      <c r="D85" s="26">
        <v>32.5</v>
      </c>
      <c r="E85" s="26">
        <v>24</v>
      </c>
      <c r="F85" s="26">
        <v>48.4</v>
      </c>
      <c r="G85" s="110">
        <f t="shared" si="16"/>
        <v>24.4</v>
      </c>
      <c r="H85" s="110">
        <f t="shared" si="17"/>
        <v>201.66666666666666</v>
      </c>
    </row>
    <row r="86" spans="1:13" s="114" customFormat="1" ht="52.5" customHeight="1">
      <c r="A86" s="137"/>
      <c r="B86" s="77" t="s">
        <v>186</v>
      </c>
      <c r="C86" s="141"/>
      <c r="D86" s="26"/>
      <c r="E86" s="26"/>
      <c r="F86" s="26"/>
      <c r="G86" s="110">
        <f t="shared" si="16"/>
        <v>0</v>
      </c>
      <c r="H86" s="178" t="e">
        <f t="shared" si="17"/>
        <v>#DIV/0!</v>
      </c>
    </row>
    <row r="87" spans="1:13" s="114" customFormat="1" ht="45.75" customHeight="1">
      <c r="A87" s="137"/>
      <c r="B87" s="86" t="s">
        <v>229</v>
      </c>
      <c r="C87" s="141"/>
      <c r="D87" s="26">
        <v>26.7</v>
      </c>
      <c r="E87" s="26">
        <v>14</v>
      </c>
      <c r="F87" s="26"/>
      <c r="G87" s="110">
        <f t="shared" si="16"/>
        <v>-14</v>
      </c>
      <c r="H87" s="110">
        <f t="shared" si="17"/>
        <v>0</v>
      </c>
    </row>
    <row r="88" spans="1:13" s="114" customFormat="1" ht="38.25" customHeight="1">
      <c r="A88" s="159"/>
      <c r="B88" s="86" t="s">
        <v>287</v>
      </c>
      <c r="C88" s="141"/>
      <c r="D88" s="26">
        <v>4.0999999999999996</v>
      </c>
      <c r="E88" s="26"/>
      <c r="F88" s="26"/>
      <c r="G88" s="110">
        <f t="shared" si="16"/>
        <v>0</v>
      </c>
      <c r="H88" s="178" t="e">
        <f t="shared" si="17"/>
        <v>#DIV/0!</v>
      </c>
    </row>
    <row r="89" spans="1:13" s="114" customFormat="1" ht="33.75" customHeight="1">
      <c r="A89" s="137"/>
      <c r="B89" s="77" t="s">
        <v>212</v>
      </c>
      <c r="C89" s="141"/>
      <c r="D89" s="26">
        <v>3.1</v>
      </c>
      <c r="E89" s="26">
        <v>1.2</v>
      </c>
      <c r="F89" s="26">
        <v>3.1</v>
      </c>
      <c r="G89" s="110">
        <f t="shared" si="16"/>
        <v>1.9000000000000001</v>
      </c>
      <c r="H89" s="110">
        <f t="shared" si="17"/>
        <v>258.33333333333337</v>
      </c>
    </row>
    <row r="90" spans="1:13" s="114" customFormat="1" ht="34.5" customHeight="1">
      <c r="A90" s="137"/>
      <c r="B90" s="77" t="s">
        <v>176</v>
      </c>
      <c r="C90" s="141"/>
      <c r="D90" s="26"/>
      <c r="E90" s="26">
        <v>55.9</v>
      </c>
      <c r="F90" s="26">
        <v>28.1</v>
      </c>
      <c r="G90" s="110">
        <f t="shared" si="16"/>
        <v>-27.799999999999997</v>
      </c>
      <c r="H90" s="110">
        <f t="shared" si="17"/>
        <v>50.26833631484795</v>
      </c>
    </row>
    <row r="91" spans="1:13" s="114" customFormat="1" ht="36" customHeight="1">
      <c r="A91" s="137"/>
      <c r="B91" s="77" t="s">
        <v>177</v>
      </c>
      <c r="C91" s="141"/>
      <c r="D91" s="26"/>
      <c r="E91" s="26">
        <v>4.9000000000000004</v>
      </c>
      <c r="F91" s="26">
        <v>2.5</v>
      </c>
      <c r="G91" s="110">
        <f t="shared" si="16"/>
        <v>-2.4000000000000004</v>
      </c>
      <c r="H91" s="110">
        <f t="shared" si="17"/>
        <v>51.020408163265309</v>
      </c>
    </row>
    <row r="92" spans="1:13" s="114" customFormat="1" ht="34.5" customHeight="1">
      <c r="A92" s="137"/>
      <c r="B92" s="77" t="s">
        <v>178</v>
      </c>
      <c r="C92" s="141"/>
      <c r="D92" s="26"/>
      <c r="E92" s="26">
        <v>23.6</v>
      </c>
      <c r="F92" s="26">
        <v>30.1</v>
      </c>
      <c r="G92" s="110">
        <f t="shared" si="16"/>
        <v>6.5</v>
      </c>
      <c r="H92" s="110">
        <f t="shared" si="17"/>
        <v>127.54237288135593</v>
      </c>
    </row>
    <row r="93" spans="1:13" s="114" customFormat="1" ht="31.5" customHeight="1">
      <c r="A93" s="137"/>
      <c r="B93" s="77" t="s">
        <v>179</v>
      </c>
      <c r="C93" s="141"/>
      <c r="D93" s="26"/>
      <c r="E93" s="26">
        <v>1.4</v>
      </c>
      <c r="F93" s="26">
        <v>0.8</v>
      </c>
      <c r="G93" s="110">
        <f t="shared" si="16"/>
        <v>-0.59999999999999987</v>
      </c>
      <c r="H93" s="110">
        <f t="shared" si="17"/>
        <v>57.142857142857153</v>
      </c>
    </row>
    <row r="94" spans="1:13" s="114" customFormat="1" ht="31.5" customHeight="1">
      <c r="A94" s="137"/>
      <c r="B94" s="77" t="s">
        <v>175</v>
      </c>
      <c r="C94" s="141"/>
      <c r="D94" s="26">
        <v>1.7</v>
      </c>
      <c r="E94" s="26"/>
      <c r="F94" s="26">
        <v>2.6</v>
      </c>
      <c r="G94" s="110">
        <f t="shared" si="16"/>
        <v>2.6</v>
      </c>
      <c r="H94" s="178" t="e">
        <f t="shared" si="17"/>
        <v>#DIV/0!</v>
      </c>
    </row>
    <row r="95" spans="1:13" s="114" customFormat="1" ht="31.5" customHeight="1">
      <c r="A95" s="137"/>
      <c r="B95" s="77" t="s">
        <v>180</v>
      </c>
      <c r="C95" s="141"/>
      <c r="D95" s="26"/>
      <c r="E95" s="26"/>
      <c r="F95" s="26">
        <v>3.3</v>
      </c>
      <c r="G95" s="110">
        <f t="shared" si="16"/>
        <v>3.3</v>
      </c>
      <c r="H95" s="178" t="e">
        <f t="shared" si="17"/>
        <v>#DIV/0!</v>
      </c>
    </row>
    <row r="96" spans="1:13" s="114" customFormat="1" ht="31.5" customHeight="1">
      <c r="A96" s="137"/>
      <c r="B96" s="77" t="s">
        <v>255</v>
      </c>
      <c r="C96" s="141"/>
      <c r="D96" s="26">
        <v>1.4</v>
      </c>
      <c r="E96" s="26"/>
      <c r="F96" s="26">
        <v>5.7</v>
      </c>
      <c r="G96" s="110">
        <f t="shared" si="16"/>
        <v>5.7</v>
      </c>
      <c r="H96" s="178" t="e">
        <f t="shared" si="17"/>
        <v>#DIV/0!</v>
      </c>
    </row>
    <row r="97" spans="1:12" s="114" customFormat="1" ht="45" customHeight="1">
      <c r="A97" s="159"/>
      <c r="B97" s="77" t="s">
        <v>280</v>
      </c>
      <c r="C97" s="141"/>
      <c r="D97" s="26">
        <v>23.9</v>
      </c>
      <c r="E97" s="26">
        <v>25</v>
      </c>
      <c r="F97" s="26"/>
      <c r="G97" s="110">
        <f t="shared" si="16"/>
        <v>-25</v>
      </c>
      <c r="H97" s="110">
        <f t="shared" si="17"/>
        <v>0</v>
      </c>
    </row>
    <row r="98" spans="1:12" s="114" customFormat="1" ht="33" customHeight="1">
      <c r="A98" s="159"/>
      <c r="B98" s="77" t="s">
        <v>274</v>
      </c>
      <c r="C98" s="141"/>
      <c r="D98" s="26">
        <v>0.8</v>
      </c>
      <c r="E98" s="26"/>
      <c r="F98" s="26"/>
      <c r="G98" s="110">
        <f t="shared" si="16"/>
        <v>0</v>
      </c>
      <c r="H98" s="178" t="e">
        <f t="shared" si="17"/>
        <v>#DIV/0!</v>
      </c>
    </row>
    <row r="99" spans="1:12" s="114" customFormat="1" ht="34.5" customHeight="1">
      <c r="A99" s="159"/>
      <c r="B99" s="77" t="s">
        <v>286</v>
      </c>
      <c r="C99" s="141"/>
      <c r="D99" s="26">
        <v>0.7</v>
      </c>
      <c r="E99" s="26"/>
      <c r="F99" s="26"/>
      <c r="G99" s="110">
        <f t="shared" si="16"/>
        <v>0</v>
      </c>
      <c r="H99" s="178" t="e">
        <f t="shared" si="17"/>
        <v>#DIV/0!</v>
      </c>
    </row>
    <row r="100" spans="1:12" s="114" customFormat="1" ht="31.5" customHeight="1">
      <c r="A100" s="137"/>
      <c r="B100" s="77" t="s">
        <v>261</v>
      </c>
      <c r="C100" s="141"/>
      <c r="D100" s="26">
        <v>3.6</v>
      </c>
      <c r="E100" s="26"/>
      <c r="F100" s="26"/>
      <c r="G100" s="110">
        <f t="shared" si="16"/>
        <v>0</v>
      </c>
      <c r="H100" s="178" t="e">
        <f t="shared" si="17"/>
        <v>#DIV/0!</v>
      </c>
    </row>
    <row r="101" spans="1:12" s="114" customFormat="1" ht="31.5" customHeight="1">
      <c r="A101" s="137"/>
      <c r="B101" s="77" t="s">
        <v>273</v>
      </c>
      <c r="C101" s="141"/>
      <c r="D101" s="26"/>
      <c r="E101" s="26"/>
      <c r="F101" s="26">
        <v>52.1</v>
      </c>
      <c r="G101" s="110">
        <f t="shared" si="16"/>
        <v>52.1</v>
      </c>
      <c r="H101" s="178" t="e">
        <f t="shared" si="17"/>
        <v>#DIV/0!</v>
      </c>
    </row>
    <row r="102" spans="1:12" s="114" customFormat="1" ht="37.5" customHeight="1">
      <c r="A102" s="242" t="s">
        <v>121</v>
      </c>
      <c r="B102" s="243"/>
      <c r="C102" s="141"/>
      <c r="D102" s="26"/>
      <c r="E102" s="24"/>
      <c r="F102" s="26"/>
      <c r="G102" s="110"/>
      <c r="H102" s="110"/>
      <c r="L102" s="142"/>
    </row>
    <row r="103" spans="1:12" s="114" customFormat="1" ht="37.5" customHeight="1">
      <c r="A103" s="242" t="s">
        <v>93</v>
      </c>
      <c r="B103" s="243"/>
      <c r="C103" s="141">
        <v>1035</v>
      </c>
      <c r="D103" s="24">
        <f>SUM(D104:D116)</f>
        <v>86</v>
      </c>
      <c r="E103" s="24">
        <f>SUM(E104:E116)</f>
        <v>186.7</v>
      </c>
      <c r="F103" s="24">
        <f>SUM(F104:F116)</f>
        <v>75.5</v>
      </c>
      <c r="G103" s="110">
        <f>F103-E103</f>
        <v>-111.19999999999999</v>
      </c>
      <c r="H103" s="110">
        <f>(F103/E103)*100</f>
        <v>40.439207284413499</v>
      </c>
    </row>
    <row r="104" spans="1:12" s="114" customFormat="1" ht="33" customHeight="1">
      <c r="A104" s="143"/>
      <c r="B104" s="77" t="s">
        <v>176</v>
      </c>
      <c r="C104" s="141"/>
      <c r="D104" s="26">
        <v>5.4</v>
      </c>
      <c r="E104" s="26">
        <v>31.7</v>
      </c>
      <c r="F104" s="26">
        <v>6.8</v>
      </c>
      <c r="G104" s="110">
        <f t="shared" ref="G104:G116" si="18">F104-E104</f>
        <v>-24.9</v>
      </c>
      <c r="H104" s="110">
        <f t="shared" ref="H104:H116" si="19">(F104/E104)*100</f>
        <v>21.451104100946374</v>
      </c>
    </row>
    <row r="105" spans="1:12" s="114" customFormat="1" ht="30.75" customHeight="1">
      <c r="A105" s="143"/>
      <c r="B105" s="77" t="s">
        <v>177</v>
      </c>
      <c r="C105" s="141"/>
      <c r="D105" s="26">
        <v>0.8</v>
      </c>
      <c r="E105" s="26">
        <v>1.9</v>
      </c>
      <c r="F105" s="26">
        <v>2.6</v>
      </c>
      <c r="G105" s="110">
        <f t="shared" si="18"/>
        <v>0.70000000000000018</v>
      </c>
      <c r="H105" s="110">
        <f t="shared" si="19"/>
        <v>136.84210526315789</v>
      </c>
      <c r="K105" s="142"/>
    </row>
    <row r="106" spans="1:12" s="114" customFormat="1" ht="30" customHeight="1">
      <c r="A106" s="143"/>
      <c r="B106" s="77" t="s">
        <v>178</v>
      </c>
      <c r="C106" s="141"/>
      <c r="D106" s="26">
        <v>10.1</v>
      </c>
      <c r="E106" s="26">
        <v>53.9</v>
      </c>
      <c r="F106" s="26">
        <v>38.5</v>
      </c>
      <c r="G106" s="110">
        <f t="shared" si="18"/>
        <v>-15.399999999999999</v>
      </c>
      <c r="H106" s="110">
        <f t="shared" si="19"/>
        <v>71.428571428571431</v>
      </c>
    </row>
    <row r="107" spans="1:12" s="114" customFormat="1" ht="30.75" customHeight="1">
      <c r="A107" s="143"/>
      <c r="B107" s="77" t="s">
        <v>174</v>
      </c>
      <c r="C107" s="141"/>
      <c r="D107" s="26">
        <v>7.5</v>
      </c>
      <c r="E107" s="26">
        <v>8</v>
      </c>
      <c r="F107" s="26">
        <v>12.4</v>
      </c>
      <c r="G107" s="110">
        <f t="shared" si="18"/>
        <v>4.4000000000000004</v>
      </c>
      <c r="H107" s="110">
        <f t="shared" si="19"/>
        <v>155</v>
      </c>
    </row>
    <row r="108" spans="1:12" s="114" customFormat="1" ht="30" customHeight="1">
      <c r="A108" s="158"/>
      <c r="B108" s="77" t="s">
        <v>288</v>
      </c>
      <c r="C108" s="141"/>
      <c r="D108" s="26">
        <v>3.3</v>
      </c>
      <c r="E108" s="26"/>
      <c r="F108" s="26"/>
      <c r="G108" s="110">
        <f t="shared" si="18"/>
        <v>0</v>
      </c>
      <c r="H108" s="178" t="e">
        <f t="shared" si="19"/>
        <v>#DIV/0!</v>
      </c>
    </row>
    <row r="109" spans="1:12" s="114" customFormat="1" ht="29.25" customHeight="1">
      <c r="A109" s="143"/>
      <c r="B109" s="77" t="s">
        <v>249</v>
      </c>
      <c r="C109" s="141"/>
      <c r="D109" s="26"/>
      <c r="E109" s="26"/>
      <c r="F109" s="26">
        <v>14.8</v>
      </c>
      <c r="G109" s="110">
        <f t="shared" si="18"/>
        <v>14.8</v>
      </c>
      <c r="H109" s="178" t="e">
        <f t="shared" si="19"/>
        <v>#DIV/0!</v>
      </c>
    </row>
    <row r="110" spans="1:12" s="114" customFormat="1" ht="27.75" customHeight="1">
      <c r="A110" s="143"/>
      <c r="B110" s="77" t="s">
        <v>230</v>
      </c>
      <c r="C110" s="141"/>
      <c r="D110" s="26"/>
      <c r="E110" s="26">
        <v>42</v>
      </c>
      <c r="F110" s="26"/>
      <c r="G110" s="110">
        <f t="shared" si="18"/>
        <v>-42</v>
      </c>
      <c r="H110" s="110">
        <f t="shared" si="19"/>
        <v>0</v>
      </c>
    </row>
    <row r="111" spans="1:12" s="114" customFormat="1" ht="32.25" customHeight="1">
      <c r="A111" s="158"/>
      <c r="B111" s="77" t="s">
        <v>290</v>
      </c>
      <c r="C111" s="141"/>
      <c r="D111" s="26">
        <v>0.3</v>
      </c>
      <c r="E111" s="26"/>
      <c r="F111" s="26">
        <v>0.4</v>
      </c>
      <c r="G111" s="110">
        <f t="shared" si="18"/>
        <v>0.4</v>
      </c>
      <c r="H111" s="178" t="e">
        <f t="shared" si="19"/>
        <v>#DIV/0!</v>
      </c>
    </row>
    <row r="112" spans="1:12" s="114" customFormat="1" ht="37.5" customHeight="1">
      <c r="A112" s="158"/>
      <c r="B112" s="77" t="s">
        <v>291</v>
      </c>
      <c r="C112" s="141"/>
      <c r="D112" s="26">
        <v>1.2</v>
      </c>
      <c r="E112" s="26"/>
      <c r="F112" s="26"/>
      <c r="G112" s="110">
        <f t="shared" si="18"/>
        <v>0</v>
      </c>
      <c r="H112" s="178" t="e">
        <f t="shared" si="19"/>
        <v>#DIV/0!</v>
      </c>
    </row>
    <row r="113" spans="1:9" s="114" customFormat="1" ht="37.5" customHeight="1">
      <c r="A113" s="158"/>
      <c r="B113" s="77" t="s">
        <v>289</v>
      </c>
      <c r="C113" s="141"/>
      <c r="D113" s="26">
        <v>1.6</v>
      </c>
      <c r="E113" s="26"/>
      <c r="F113" s="26"/>
      <c r="G113" s="110">
        <f t="shared" si="18"/>
        <v>0</v>
      </c>
      <c r="H113" s="178" t="e">
        <f t="shared" si="19"/>
        <v>#DIV/0!</v>
      </c>
    </row>
    <row r="114" spans="1:9" s="114" customFormat="1" ht="37.5" customHeight="1">
      <c r="A114" s="143"/>
      <c r="B114" s="77" t="s">
        <v>269</v>
      </c>
      <c r="C114" s="141"/>
      <c r="D114" s="26">
        <v>0.2</v>
      </c>
      <c r="E114" s="26"/>
      <c r="F114" s="26"/>
      <c r="G114" s="110">
        <f t="shared" si="18"/>
        <v>0</v>
      </c>
      <c r="H114" s="178" t="e">
        <f t="shared" si="19"/>
        <v>#DIV/0!</v>
      </c>
    </row>
    <row r="115" spans="1:9" s="114" customFormat="1" ht="37.5" customHeight="1">
      <c r="A115" s="143"/>
      <c r="B115" s="77" t="s">
        <v>275</v>
      </c>
      <c r="C115" s="141"/>
      <c r="D115" s="26">
        <v>5.3</v>
      </c>
      <c r="E115" s="26"/>
      <c r="F115" s="26"/>
      <c r="G115" s="110">
        <f t="shared" si="18"/>
        <v>0</v>
      </c>
      <c r="H115" s="178" t="e">
        <f t="shared" si="19"/>
        <v>#DIV/0!</v>
      </c>
    </row>
    <row r="116" spans="1:9" s="114" customFormat="1" ht="37.5" customHeight="1">
      <c r="A116" s="143"/>
      <c r="B116" s="77" t="s">
        <v>231</v>
      </c>
      <c r="C116" s="141"/>
      <c r="D116" s="26">
        <v>50.3</v>
      </c>
      <c r="E116" s="26">
        <v>49.2</v>
      </c>
      <c r="F116" s="24"/>
      <c r="G116" s="110">
        <f t="shared" si="18"/>
        <v>-49.2</v>
      </c>
      <c r="H116" s="110">
        <f t="shared" si="19"/>
        <v>0</v>
      </c>
    </row>
    <row r="117" spans="1:9">
      <c r="B117" s="112"/>
      <c r="D117" s="167"/>
      <c r="E117" s="113"/>
      <c r="F117" s="113"/>
    </row>
    <row r="118" spans="1:9" ht="24.75" customHeight="1">
      <c r="B118" s="186" t="s">
        <v>474</v>
      </c>
      <c r="C118" s="32"/>
      <c r="D118" s="247"/>
      <c r="E118" s="247"/>
      <c r="F118" s="244" t="s">
        <v>213</v>
      </c>
      <c r="G118" s="244"/>
      <c r="H118" s="244"/>
      <c r="I118" s="108"/>
    </row>
    <row r="119" spans="1:9">
      <c r="B119" s="135" t="s">
        <v>60</v>
      </c>
      <c r="C119" s="33"/>
      <c r="D119" s="248" t="s">
        <v>66</v>
      </c>
      <c r="E119" s="248"/>
      <c r="F119" s="245" t="s">
        <v>17</v>
      </c>
      <c r="G119" s="245"/>
      <c r="H119" s="245"/>
    </row>
    <row r="120" spans="1:9">
      <c r="B120" s="112"/>
      <c r="D120" s="167"/>
      <c r="E120" s="113"/>
      <c r="F120" s="113"/>
    </row>
    <row r="121" spans="1:9">
      <c r="B121" s="112"/>
      <c r="D121" s="167"/>
      <c r="E121" s="113"/>
      <c r="F121" s="113"/>
    </row>
    <row r="122" spans="1:9">
      <c r="B122" s="112"/>
      <c r="D122" s="167"/>
      <c r="E122" s="113"/>
      <c r="F122" s="113"/>
    </row>
    <row r="123" spans="1:9">
      <c r="B123" s="112"/>
      <c r="D123" s="167"/>
      <c r="E123" s="113"/>
      <c r="F123" s="113"/>
    </row>
    <row r="124" spans="1:9">
      <c r="B124" s="112"/>
      <c r="D124" s="167"/>
      <c r="E124" s="113"/>
      <c r="F124" s="113"/>
    </row>
    <row r="125" spans="1:9">
      <c r="B125" s="112"/>
      <c r="D125" s="167"/>
      <c r="E125" s="113"/>
      <c r="F125" s="113"/>
    </row>
    <row r="126" spans="1:9">
      <c r="B126" s="112"/>
      <c r="D126" s="167"/>
      <c r="E126" s="113"/>
      <c r="F126" s="113"/>
    </row>
    <row r="127" spans="1:9">
      <c r="B127" s="112"/>
      <c r="D127" s="167"/>
      <c r="E127" s="113"/>
      <c r="F127" s="113"/>
    </row>
    <row r="128" spans="1:9">
      <c r="B128" s="112"/>
      <c r="D128" s="167"/>
      <c r="E128" s="113"/>
      <c r="F128" s="113"/>
    </row>
    <row r="129" spans="2:6">
      <c r="B129" s="112"/>
      <c r="D129" s="167"/>
      <c r="E129" s="113"/>
      <c r="F129" s="113"/>
    </row>
    <row r="130" spans="2:6">
      <c r="B130" s="112"/>
      <c r="D130" s="167"/>
      <c r="E130" s="113"/>
      <c r="F130" s="113"/>
    </row>
    <row r="131" spans="2:6">
      <c r="B131" s="112"/>
      <c r="D131" s="167"/>
      <c r="E131" s="113"/>
      <c r="F131" s="113"/>
    </row>
    <row r="132" spans="2:6">
      <c r="B132" s="112"/>
      <c r="D132" s="167"/>
      <c r="E132" s="113"/>
      <c r="F132" s="113"/>
    </row>
    <row r="133" spans="2:6">
      <c r="B133" s="112"/>
      <c r="D133" s="167"/>
      <c r="E133" s="113"/>
      <c r="F133" s="113"/>
    </row>
    <row r="134" spans="2:6">
      <c r="B134" s="112"/>
      <c r="D134" s="167"/>
      <c r="E134" s="113"/>
      <c r="F134" s="113"/>
    </row>
    <row r="135" spans="2:6">
      <c r="B135" s="112"/>
      <c r="D135" s="167"/>
      <c r="E135" s="113"/>
      <c r="F135" s="113"/>
    </row>
    <row r="136" spans="2:6">
      <c r="B136" s="112"/>
      <c r="D136" s="167"/>
      <c r="E136" s="113"/>
      <c r="F136" s="113"/>
    </row>
    <row r="137" spans="2:6">
      <c r="B137" s="112"/>
      <c r="D137" s="167"/>
      <c r="E137" s="113"/>
      <c r="F137" s="113"/>
    </row>
    <row r="138" spans="2:6">
      <c r="B138" s="112"/>
      <c r="D138" s="167"/>
      <c r="E138" s="113"/>
      <c r="F138" s="113"/>
    </row>
    <row r="139" spans="2:6">
      <c r="B139" s="112"/>
      <c r="D139" s="167"/>
      <c r="E139" s="113"/>
      <c r="F139" s="113"/>
    </row>
    <row r="140" spans="2:6">
      <c r="B140" s="112"/>
      <c r="D140" s="167"/>
      <c r="E140" s="113"/>
      <c r="F140" s="113"/>
    </row>
    <row r="141" spans="2:6">
      <c r="B141" s="112"/>
      <c r="D141" s="167"/>
      <c r="E141" s="113"/>
      <c r="F141" s="113"/>
    </row>
    <row r="142" spans="2:6">
      <c r="B142" s="112"/>
      <c r="D142" s="167"/>
      <c r="E142" s="113"/>
      <c r="F142" s="113"/>
    </row>
    <row r="143" spans="2:6">
      <c r="B143" s="112"/>
      <c r="D143" s="167"/>
      <c r="E143" s="113"/>
      <c r="F143" s="113"/>
    </row>
    <row r="144" spans="2:6">
      <c r="B144" s="112"/>
      <c r="D144" s="167"/>
      <c r="E144" s="113"/>
      <c r="F144" s="113"/>
    </row>
    <row r="145" spans="2:6">
      <c r="B145" s="112"/>
      <c r="D145" s="167"/>
      <c r="E145" s="113"/>
      <c r="F145" s="113"/>
    </row>
    <row r="146" spans="2:6">
      <c r="B146" s="112"/>
      <c r="D146" s="167"/>
      <c r="E146" s="113"/>
      <c r="F146" s="113"/>
    </row>
    <row r="147" spans="2:6">
      <c r="B147" s="112"/>
      <c r="D147" s="167"/>
      <c r="E147" s="113"/>
      <c r="F147" s="113"/>
    </row>
    <row r="148" spans="2:6">
      <c r="B148" s="112"/>
      <c r="D148" s="167"/>
      <c r="E148" s="113"/>
      <c r="F148" s="113"/>
    </row>
    <row r="149" spans="2:6">
      <c r="B149" s="112"/>
      <c r="D149" s="167"/>
      <c r="E149" s="113"/>
      <c r="F149" s="113"/>
    </row>
    <row r="150" spans="2:6">
      <c r="B150" s="112"/>
      <c r="D150" s="167"/>
      <c r="E150" s="113"/>
      <c r="F150" s="113"/>
    </row>
    <row r="151" spans="2:6">
      <c r="B151" s="112"/>
      <c r="D151" s="167"/>
      <c r="E151" s="113"/>
      <c r="F151" s="113"/>
    </row>
    <row r="152" spans="2:6">
      <c r="B152" s="112"/>
      <c r="D152" s="167"/>
      <c r="E152" s="113"/>
      <c r="F152" s="113"/>
    </row>
    <row r="153" spans="2:6">
      <c r="B153" s="112"/>
      <c r="D153" s="167"/>
      <c r="E153" s="113"/>
      <c r="F153" s="113"/>
    </row>
    <row r="154" spans="2:6">
      <c r="B154" s="112"/>
      <c r="D154" s="167"/>
      <c r="E154" s="113"/>
      <c r="F154" s="113"/>
    </row>
    <row r="155" spans="2:6">
      <c r="B155" s="112"/>
      <c r="D155" s="167"/>
      <c r="E155" s="113"/>
      <c r="F155" s="113"/>
    </row>
    <row r="156" spans="2:6">
      <c r="B156" s="112"/>
      <c r="D156" s="167"/>
      <c r="E156" s="113"/>
      <c r="F156" s="113"/>
    </row>
    <row r="157" spans="2:6">
      <c r="B157" s="112"/>
      <c r="D157" s="167"/>
      <c r="E157" s="113"/>
      <c r="F157" s="113"/>
    </row>
    <row r="158" spans="2:6">
      <c r="B158" s="112"/>
      <c r="D158" s="167"/>
      <c r="E158" s="113"/>
      <c r="F158" s="113"/>
    </row>
    <row r="159" spans="2:6">
      <c r="B159" s="112"/>
      <c r="D159" s="167"/>
      <c r="E159" s="113"/>
      <c r="F159" s="113"/>
    </row>
    <row r="160" spans="2:6">
      <c r="B160" s="112"/>
      <c r="D160" s="167"/>
      <c r="E160" s="113"/>
      <c r="F160" s="113"/>
    </row>
    <row r="161" spans="2:6">
      <c r="B161" s="112"/>
      <c r="D161" s="167"/>
      <c r="E161" s="113"/>
      <c r="F161" s="113"/>
    </row>
    <row r="162" spans="2:6">
      <c r="B162" s="112"/>
      <c r="D162" s="167"/>
      <c r="E162" s="113"/>
      <c r="F162" s="113"/>
    </row>
    <row r="163" spans="2:6">
      <c r="B163" s="112"/>
      <c r="D163" s="167"/>
      <c r="E163" s="113"/>
      <c r="F163" s="113"/>
    </row>
    <row r="164" spans="2:6">
      <c r="B164" s="112"/>
      <c r="D164" s="167"/>
      <c r="E164" s="113"/>
      <c r="F164" s="113"/>
    </row>
    <row r="165" spans="2:6">
      <c r="B165" s="112"/>
      <c r="D165" s="167"/>
      <c r="E165" s="113"/>
      <c r="F165" s="113"/>
    </row>
    <row r="166" spans="2:6">
      <c r="B166" s="112"/>
      <c r="D166" s="167"/>
      <c r="E166" s="113"/>
      <c r="F166" s="113"/>
    </row>
    <row r="167" spans="2:6">
      <c r="B167" s="112"/>
      <c r="D167" s="167"/>
      <c r="E167" s="113"/>
      <c r="F167" s="113"/>
    </row>
    <row r="168" spans="2:6">
      <c r="B168" s="112"/>
      <c r="D168" s="167"/>
      <c r="E168" s="113"/>
      <c r="F168" s="113"/>
    </row>
    <row r="169" spans="2:6">
      <c r="B169" s="112"/>
      <c r="D169" s="167"/>
      <c r="E169" s="113"/>
      <c r="F169" s="113"/>
    </row>
    <row r="170" spans="2:6">
      <c r="B170" s="112"/>
      <c r="D170" s="167"/>
      <c r="E170" s="113"/>
      <c r="F170" s="113"/>
    </row>
    <row r="171" spans="2:6">
      <c r="B171" s="112"/>
      <c r="D171" s="167"/>
      <c r="E171" s="113"/>
      <c r="F171" s="113"/>
    </row>
    <row r="172" spans="2:6">
      <c r="B172" s="112"/>
      <c r="D172" s="167"/>
      <c r="E172" s="113"/>
      <c r="F172" s="113"/>
    </row>
    <row r="173" spans="2:6">
      <c r="B173" s="112"/>
      <c r="D173" s="167"/>
      <c r="E173" s="113"/>
      <c r="F173" s="113"/>
    </row>
    <row r="174" spans="2:6">
      <c r="B174" s="112"/>
    </row>
    <row r="175" spans="2:6">
      <c r="B175" s="132"/>
    </row>
    <row r="176" spans="2:6">
      <c r="B176" s="132"/>
    </row>
    <row r="177" spans="2:2">
      <c r="B177" s="132"/>
    </row>
    <row r="178" spans="2:2">
      <c r="B178" s="132"/>
    </row>
    <row r="179" spans="2:2">
      <c r="B179" s="132"/>
    </row>
    <row r="180" spans="2:2">
      <c r="B180" s="132"/>
    </row>
    <row r="181" spans="2:2">
      <c r="B181" s="132"/>
    </row>
    <row r="182" spans="2:2">
      <c r="B182" s="132"/>
    </row>
    <row r="183" spans="2:2">
      <c r="B183" s="132"/>
    </row>
    <row r="184" spans="2:2">
      <c r="B184" s="132"/>
    </row>
    <row r="185" spans="2:2">
      <c r="B185" s="132"/>
    </row>
    <row r="186" spans="2:2">
      <c r="B186" s="132"/>
    </row>
    <row r="187" spans="2:2">
      <c r="B187" s="132"/>
    </row>
    <row r="188" spans="2:2">
      <c r="B188" s="132"/>
    </row>
    <row r="189" spans="2:2">
      <c r="B189" s="132"/>
    </row>
    <row r="190" spans="2:2">
      <c r="B190" s="132"/>
    </row>
    <row r="191" spans="2:2">
      <c r="B191" s="132"/>
    </row>
    <row r="192" spans="2:2">
      <c r="B192" s="132"/>
    </row>
    <row r="193" spans="2:2">
      <c r="B193" s="132"/>
    </row>
    <row r="194" spans="2:2">
      <c r="B194" s="132"/>
    </row>
    <row r="195" spans="2:2">
      <c r="B195" s="132"/>
    </row>
    <row r="196" spans="2:2">
      <c r="B196" s="132"/>
    </row>
    <row r="197" spans="2:2">
      <c r="B197" s="132"/>
    </row>
    <row r="198" spans="2:2">
      <c r="B198" s="132"/>
    </row>
    <row r="199" spans="2:2">
      <c r="B199" s="132"/>
    </row>
    <row r="200" spans="2:2">
      <c r="B200" s="132"/>
    </row>
    <row r="201" spans="2:2">
      <c r="B201" s="132"/>
    </row>
    <row r="202" spans="2:2">
      <c r="B202" s="132"/>
    </row>
    <row r="203" spans="2:2">
      <c r="B203" s="132"/>
    </row>
    <row r="204" spans="2:2">
      <c r="B204" s="132"/>
    </row>
    <row r="205" spans="2:2">
      <c r="B205" s="132"/>
    </row>
    <row r="206" spans="2:2">
      <c r="B206" s="132"/>
    </row>
    <row r="207" spans="2:2">
      <c r="B207" s="132"/>
    </row>
    <row r="208" spans="2:2">
      <c r="B208" s="132"/>
    </row>
    <row r="209" spans="2:2">
      <c r="B209" s="132"/>
    </row>
    <row r="210" spans="2:2">
      <c r="B210" s="132"/>
    </row>
    <row r="211" spans="2:2">
      <c r="B211" s="132"/>
    </row>
    <row r="212" spans="2:2">
      <c r="B212" s="132"/>
    </row>
    <row r="213" spans="2:2">
      <c r="B213" s="132"/>
    </row>
    <row r="214" spans="2:2">
      <c r="B214" s="132"/>
    </row>
    <row r="215" spans="2:2">
      <c r="B215" s="132"/>
    </row>
    <row r="216" spans="2:2">
      <c r="B216" s="132"/>
    </row>
    <row r="217" spans="2:2">
      <c r="B217" s="132"/>
    </row>
    <row r="218" spans="2:2">
      <c r="B218" s="132"/>
    </row>
    <row r="219" spans="2:2">
      <c r="B219" s="132"/>
    </row>
    <row r="220" spans="2:2">
      <c r="B220" s="132"/>
    </row>
    <row r="221" spans="2:2">
      <c r="B221" s="132"/>
    </row>
    <row r="222" spans="2:2">
      <c r="B222" s="132"/>
    </row>
    <row r="223" spans="2:2">
      <c r="B223" s="132"/>
    </row>
    <row r="224" spans="2:2">
      <c r="B224" s="132"/>
    </row>
    <row r="225" spans="2:2">
      <c r="B225" s="132"/>
    </row>
    <row r="226" spans="2:2">
      <c r="B226" s="132"/>
    </row>
    <row r="227" spans="2:2">
      <c r="B227" s="132"/>
    </row>
    <row r="228" spans="2:2">
      <c r="B228" s="132"/>
    </row>
    <row r="229" spans="2:2">
      <c r="B229" s="132"/>
    </row>
    <row r="230" spans="2:2">
      <c r="B230" s="132"/>
    </row>
    <row r="231" spans="2:2">
      <c r="B231" s="132"/>
    </row>
    <row r="232" spans="2:2">
      <c r="B232" s="132"/>
    </row>
    <row r="233" spans="2:2">
      <c r="B233" s="132"/>
    </row>
    <row r="234" spans="2:2">
      <c r="B234" s="132"/>
    </row>
    <row r="235" spans="2:2">
      <c r="B235" s="132"/>
    </row>
    <row r="236" spans="2:2">
      <c r="B236" s="132"/>
    </row>
    <row r="237" spans="2:2">
      <c r="B237" s="132"/>
    </row>
    <row r="238" spans="2:2">
      <c r="B238" s="132"/>
    </row>
    <row r="239" spans="2:2">
      <c r="B239" s="132"/>
    </row>
    <row r="240" spans="2:2">
      <c r="B240" s="132"/>
    </row>
    <row r="241" spans="2:2">
      <c r="B241" s="132"/>
    </row>
    <row r="242" spans="2:2">
      <c r="B242" s="132"/>
    </row>
    <row r="243" spans="2:2">
      <c r="B243" s="132"/>
    </row>
    <row r="244" spans="2:2">
      <c r="B244" s="132"/>
    </row>
    <row r="245" spans="2:2">
      <c r="B245" s="132"/>
    </row>
    <row r="246" spans="2:2">
      <c r="B246" s="132"/>
    </row>
    <row r="247" spans="2:2">
      <c r="B247" s="132"/>
    </row>
    <row r="248" spans="2:2">
      <c r="B248" s="132"/>
    </row>
    <row r="249" spans="2:2">
      <c r="B249" s="132"/>
    </row>
    <row r="250" spans="2:2">
      <c r="B250" s="132"/>
    </row>
    <row r="251" spans="2:2">
      <c r="B251" s="132"/>
    </row>
    <row r="252" spans="2:2">
      <c r="B252" s="132"/>
    </row>
    <row r="253" spans="2:2">
      <c r="B253" s="132"/>
    </row>
    <row r="254" spans="2:2">
      <c r="B254" s="132"/>
    </row>
    <row r="255" spans="2:2">
      <c r="B255" s="132"/>
    </row>
    <row r="256" spans="2:2">
      <c r="B256" s="132"/>
    </row>
    <row r="257" spans="2:2">
      <c r="B257" s="132"/>
    </row>
    <row r="258" spans="2:2">
      <c r="B258" s="132"/>
    </row>
    <row r="259" spans="2:2">
      <c r="B259" s="132"/>
    </row>
    <row r="260" spans="2:2">
      <c r="B260" s="132"/>
    </row>
    <row r="261" spans="2:2">
      <c r="B261" s="132"/>
    </row>
    <row r="262" spans="2:2">
      <c r="B262" s="132"/>
    </row>
    <row r="263" spans="2:2">
      <c r="B263" s="132"/>
    </row>
    <row r="264" spans="2:2">
      <c r="B264" s="132"/>
    </row>
    <row r="265" spans="2:2">
      <c r="B265" s="132"/>
    </row>
    <row r="266" spans="2:2">
      <c r="B266" s="132"/>
    </row>
    <row r="267" spans="2:2">
      <c r="B267" s="132"/>
    </row>
    <row r="268" spans="2:2">
      <c r="B268" s="132"/>
    </row>
    <row r="269" spans="2:2">
      <c r="B269" s="132"/>
    </row>
    <row r="270" spans="2:2">
      <c r="B270" s="132"/>
    </row>
    <row r="271" spans="2:2">
      <c r="B271" s="132"/>
    </row>
    <row r="272" spans="2:2">
      <c r="B272" s="132"/>
    </row>
    <row r="273" spans="2:2">
      <c r="B273" s="132"/>
    </row>
    <row r="274" spans="2:2">
      <c r="B274" s="132"/>
    </row>
    <row r="275" spans="2:2">
      <c r="B275" s="132"/>
    </row>
    <row r="276" spans="2:2">
      <c r="B276" s="132"/>
    </row>
    <row r="277" spans="2:2">
      <c r="B277" s="132"/>
    </row>
    <row r="278" spans="2:2">
      <c r="B278" s="132"/>
    </row>
    <row r="279" spans="2:2">
      <c r="B279" s="132"/>
    </row>
    <row r="280" spans="2:2">
      <c r="B280" s="132"/>
    </row>
    <row r="281" spans="2:2">
      <c r="B281" s="132"/>
    </row>
    <row r="282" spans="2:2">
      <c r="B282" s="132"/>
    </row>
    <row r="283" spans="2:2">
      <c r="B283" s="132"/>
    </row>
    <row r="284" spans="2:2">
      <c r="B284" s="132"/>
    </row>
    <row r="285" spans="2:2">
      <c r="B285" s="132"/>
    </row>
    <row r="286" spans="2:2">
      <c r="B286" s="132"/>
    </row>
    <row r="287" spans="2:2">
      <c r="B287" s="132"/>
    </row>
    <row r="288" spans="2:2">
      <c r="B288" s="132"/>
    </row>
    <row r="289" spans="2:2">
      <c r="B289" s="132"/>
    </row>
    <row r="290" spans="2:2">
      <c r="B290" s="132"/>
    </row>
    <row r="291" spans="2:2">
      <c r="B291" s="132"/>
    </row>
    <row r="292" spans="2:2">
      <c r="B292" s="132"/>
    </row>
    <row r="293" spans="2:2">
      <c r="B293" s="132"/>
    </row>
    <row r="294" spans="2:2">
      <c r="B294" s="132"/>
    </row>
    <row r="295" spans="2:2">
      <c r="B295" s="132"/>
    </row>
    <row r="296" spans="2:2">
      <c r="B296" s="132"/>
    </row>
    <row r="297" spans="2:2">
      <c r="B297" s="132"/>
    </row>
    <row r="298" spans="2:2">
      <c r="B298" s="132"/>
    </row>
    <row r="299" spans="2:2">
      <c r="B299" s="132"/>
    </row>
    <row r="300" spans="2:2">
      <c r="B300" s="132"/>
    </row>
    <row r="301" spans="2:2">
      <c r="B301" s="132"/>
    </row>
    <row r="302" spans="2:2">
      <c r="B302" s="132"/>
    </row>
    <row r="303" spans="2:2">
      <c r="B303" s="132"/>
    </row>
    <row r="304" spans="2:2">
      <c r="B304" s="132"/>
    </row>
    <row r="305" spans="2:2">
      <c r="B305" s="132"/>
    </row>
    <row r="306" spans="2:2">
      <c r="B306" s="132"/>
    </row>
    <row r="307" spans="2:2">
      <c r="B307" s="132"/>
    </row>
    <row r="308" spans="2:2">
      <c r="B308" s="132"/>
    </row>
    <row r="309" spans="2:2">
      <c r="B309" s="132"/>
    </row>
    <row r="310" spans="2:2">
      <c r="B310" s="132"/>
    </row>
    <row r="311" spans="2:2">
      <c r="B311" s="132"/>
    </row>
    <row r="312" spans="2:2">
      <c r="B312" s="132"/>
    </row>
    <row r="313" spans="2:2">
      <c r="B313" s="132"/>
    </row>
    <row r="314" spans="2:2">
      <c r="B314" s="132"/>
    </row>
    <row r="315" spans="2:2">
      <c r="B315" s="132"/>
    </row>
    <row r="316" spans="2:2">
      <c r="B316" s="132"/>
    </row>
    <row r="317" spans="2:2">
      <c r="B317" s="132"/>
    </row>
    <row r="318" spans="2:2">
      <c r="B318" s="132"/>
    </row>
    <row r="319" spans="2:2">
      <c r="B319" s="132"/>
    </row>
    <row r="320" spans="2:2">
      <c r="B320" s="132"/>
    </row>
    <row r="321" spans="2:2">
      <c r="B321" s="132"/>
    </row>
    <row r="322" spans="2:2">
      <c r="B322" s="132"/>
    </row>
    <row r="323" spans="2:2">
      <c r="B323" s="132"/>
    </row>
    <row r="324" spans="2:2">
      <c r="B324" s="132"/>
    </row>
    <row r="325" spans="2:2">
      <c r="B325" s="132"/>
    </row>
    <row r="326" spans="2:2">
      <c r="B326" s="132"/>
    </row>
    <row r="327" spans="2:2">
      <c r="B327" s="132"/>
    </row>
    <row r="328" spans="2:2">
      <c r="B328" s="132"/>
    </row>
    <row r="329" spans="2:2">
      <c r="B329" s="132"/>
    </row>
    <row r="330" spans="2:2">
      <c r="B330" s="132"/>
    </row>
    <row r="331" spans="2:2">
      <c r="B331" s="132"/>
    </row>
    <row r="332" spans="2:2">
      <c r="B332" s="132"/>
    </row>
    <row r="333" spans="2:2">
      <c r="B333" s="132"/>
    </row>
    <row r="334" spans="2:2">
      <c r="B334" s="132"/>
    </row>
    <row r="335" spans="2:2">
      <c r="B335" s="132"/>
    </row>
    <row r="336" spans="2:2">
      <c r="B336" s="132"/>
    </row>
    <row r="337" spans="2:2">
      <c r="B337" s="132"/>
    </row>
    <row r="338" spans="2:2">
      <c r="B338" s="132"/>
    </row>
    <row r="339" spans="2:2">
      <c r="B339" s="132"/>
    </row>
    <row r="340" spans="2:2">
      <c r="B340" s="132"/>
    </row>
    <row r="341" spans="2:2">
      <c r="B341" s="132"/>
    </row>
  </sheetData>
  <mergeCells count="19">
    <mergeCell ref="F118:H118"/>
    <mergeCell ref="F119:H119"/>
    <mergeCell ref="B2:F2"/>
    <mergeCell ref="D118:E118"/>
    <mergeCell ref="D119:E119"/>
    <mergeCell ref="A32:B32"/>
    <mergeCell ref="A33:B33"/>
    <mergeCell ref="A34:B34"/>
    <mergeCell ref="A48:B48"/>
    <mergeCell ref="A77:B77"/>
    <mergeCell ref="A78:B78"/>
    <mergeCell ref="A82:B82"/>
    <mergeCell ref="A6:B6"/>
    <mergeCell ref="A7:B7"/>
    <mergeCell ref="A12:B12"/>
    <mergeCell ref="A25:B25"/>
    <mergeCell ref="A23:B23"/>
    <mergeCell ref="A103:B103"/>
    <mergeCell ref="A102:B102"/>
  </mergeCells>
  <pageMargins left="0.39370078740157483" right="0.39370078740157483" top="0.78740157480314965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R557"/>
  <sheetViews>
    <sheetView view="pageBreakPreview" topLeftCell="A318" zoomScale="70" zoomScaleNormal="70" zoomScaleSheetLayoutView="70" workbookViewId="0">
      <selection activeCell="B334" sqref="B334"/>
    </sheetView>
  </sheetViews>
  <sheetFormatPr defaultRowHeight="18.75"/>
  <cols>
    <col min="1" max="1" width="9.140625" style="33"/>
    <col min="2" max="2" width="106.140625" style="33" customWidth="1"/>
    <col min="3" max="3" width="14.140625" style="191" customWidth="1"/>
    <col min="4" max="4" width="16.140625" style="191" customWidth="1"/>
    <col min="5" max="5" width="16.7109375" style="191" customWidth="1"/>
    <col min="6" max="6" width="16.140625" style="191" customWidth="1"/>
    <col min="7" max="7" width="16.140625" style="33" customWidth="1"/>
    <col min="8" max="8" width="16.42578125" style="33" customWidth="1"/>
    <col min="9" max="9" width="10.85546875" style="33" bestFit="1" customWidth="1"/>
    <col min="10" max="10" width="13.7109375" style="33" bestFit="1" customWidth="1"/>
    <col min="11" max="11" width="17.5703125" style="114" customWidth="1"/>
    <col min="12" max="12" width="20" style="33" customWidth="1"/>
    <col min="13" max="13" width="18.7109375" style="33" customWidth="1"/>
    <col min="14" max="14" width="19.42578125" style="33" customWidth="1"/>
    <col min="15" max="15" width="19.7109375" style="191" customWidth="1"/>
    <col min="16" max="16" width="21" style="191" customWidth="1"/>
    <col min="17" max="17" width="20.5703125" style="191" customWidth="1"/>
    <col min="18" max="16384" width="9.140625" style="33"/>
  </cols>
  <sheetData>
    <row r="2" spans="1:18" ht="22.5" customHeight="1">
      <c r="B2" s="246" t="s">
        <v>119</v>
      </c>
      <c r="C2" s="246"/>
      <c r="D2" s="246"/>
      <c r="E2" s="246"/>
      <c r="F2" s="246"/>
      <c r="G2" s="246"/>
      <c r="H2" s="246"/>
    </row>
    <row r="3" spans="1:18">
      <c r="B3" s="123"/>
      <c r="C3" s="124"/>
      <c r="D3" s="123"/>
      <c r="E3" s="123"/>
      <c r="F3" s="123"/>
      <c r="H3" s="33" t="s">
        <v>65</v>
      </c>
    </row>
    <row r="4" spans="1:18" ht="83.25" customHeight="1">
      <c r="A4" s="128" t="s">
        <v>76</v>
      </c>
      <c r="B4" s="128" t="s">
        <v>23</v>
      </c>
      <c r="C4" s="88" t="s">
        <v>5</v>
      </c>
      <c r="D4" s="88" t="s">
        <v>303</v>
      </c>
      <c r="E4" s="88" t="s">
        <v>304</v>
      </c>
      <c r="F4" s="88" t="s">
        <v>302</v>
      </c>
      <c r="G4" s="88" t="s">
        <v>110</v>
      </c>
      <c r="H4" s="88" t="s">
        <v>113</v>
      </c>
      <c r="O4" s="41"/>
      <c r="P4" s="41"/>
      <c r="Q4" s="41"/>
    </row>
    <row r="5" spans="1:18" ht="30.75" customHeight="1">
      <c r="A5" s="120">
        <v>1</v>
      </c>
      <c r="B5" s="128">
        <v>2</v>
      </c>
      <c r="C5" s="88">
        <v>3</v>
      </c>
      <c r="D5" s="88">
        <v>4</v>
      </c>
      <c r="E5" s="88">
        <v>5</v>
      </c>
      <c r="F5" s="88">
        <v>6</v>
      </c>
      <c r="G5" s="128">
        <v>7</v>
      </c>
      <c r="H5" s="128">
        <v>8</v>
      </c>
      <c r="O5" s="125"/>
      <c r="P5" s="125"/>
      <c r="Q5" s="125"/>
    </row>
    <row r="6" spans="1:18" ht="30.75" customHeight="1">
      <c r="A6" s="253" t="s">
        <v>84</v>
      </c>
      <c r="B6" s="253"/>
      <c r="C6" s="87"/>
      <c r="D6" s="129">
        <f t="shared" ref="D6:E6" si="0">SUM(D7,D40,D49,D61,D120,D142,D168,D176,D181,D205,D215,D220,D225,D232,D239,D246,D254,D259,D280,D316,D321,D326)</f>
        <v>49155.200000000012</v>
      </c>
      <c r="E6" s="129">
        <f t="shared" si="0"/>
        <v>44680.799999999988</v>
      </c>
      <c r="F6" s="129">
        <f>SUM(F7,F40,F49,F61,F120,F142,F168,F176,F181,F205,F215,F220,F225,F232,F239,F246,F254,F259,F280,F316,F321,F326)</f>
        <v>56252.100000000013</v>
      </c>
      <c r="G6" s="128"/>
      <c r="H6" s="128"/>
      <c r="N6" s="114"/>
      <c r="O6" s="126"/>
      <c r="P6" s="126"/>
      <c r="Q6" s="126"/>
    </row>
    <row r="7" spans="1:18" ht="38.25" customHeight="1">
      <c r="A7" s="87" t="s">
        <v>85</v>
      </c>
      <c r="B7" s="217" t="s">
        <v>120</v>
      </c>
      <c r="C7" s="87"/>
      <c r="D7" s="24">
        <f>D9+D30+D37</f>
        <v>32690.100000000002</v>
      </c>
      <c r="E7" s="24">
        <f>E9+E30+E37</f>
        <v>36381.299999999996</v>
      </c>
      <c r="F7" s="24">
        <f>F9+F30+F37</f>
        <v>42612.1</v>
      </c>
      <c r="G7" s="110">
        <f>F7-E7</f>
        <v>6230.8000000000029</v>
      </c>
      <c r="H7" s="110">
        <f>(F7/E7)*100</f>
        <v>117.12638086049702</v>
      </c>
      <c r="N7" s="114"/>
      <c r="O7" s="127"/>
      <c r="P7" s="127"/>
      <c r="Q7" s="127"/>
      <c r="R7" s="48"/>
    </row>
    <row r="8" spans="1:18" ht="24.75" customHeight="1">
      <c r="A8" s="128"/>
      <c r="B8" s="96" t="s">
        <v>86</v>
      </c>
      <c r="C8" s="88"/>
      <c r="D8" s="26"/>
      <c r="E8" s="26"/>
      <c r="F8" s="26"/>
      <c r="G8" s="110"/>
      <c r="H8" s="110"/>
      <c r="L8" s="142">
        <f>L9+L16+L23</f>
        <v>49155.200000000019</v>
      </c>
      <c r="M8" s="114">
        <f t="shared" ref="M8:N8" si="1">M9+M16+M23</f>
        <v>44680.799999999996</v>
      </c>
      <c r="N8" s="114">
        <f t="shared" si="1"/>
        <v>56252.100000000013</v>
      </c>
      <c r="O8" s="127"/>
      <c r="P8" s="127"/>
      <c r="Q8" s="127"/>
    </row>
    <row r="9" spans="1:18" ht="30" customHeight="1">
      <c r="A9" s="99" t="s">
        <v>87</v>
      </c>
      <c r="B9" s="171" t="s">
        <v>90</v>
      </c>
      <c r="C9" s="119">
        <v>1010</v>
      </c>
      <c r="D9" s="70">
        <f>D10+D16+D17+D19+D18</f>
        <v>30066.100000000002</v>
      </c>
      <c r="E9" s="70">
        <f>E10+E16+E17+E19</f>
        <v>34199.1</v>
      </c>
      <c r="F9" s="70">
        <f>F10+F16+F17+F19+F18</f>
        <v>39314.1</v>
      </c>
      <c r="G9" s="172">
        <f>F9-E9</f>
        <v>5115</v>
      </c>
      <c r="H9" s="172">
        <f>(F9/E9)*100</f>
        <v>114.95653394387573</v>
      </c>
      <c r="K9" s="114">
        <v>1010</v>
      </c>
      <c r="L9" s="170">
        <f>SUM(D9,D42,D63,D122,D144,D170,D178,D183,D207,D217,D222,D248,D261,D282,D318,D328,)</f>
        <v>45999.000000000015</v>
      </c>
      <c r="M9" s="114">
        <f>SUM(E9,E42,E63,E122,E144,E170,E178,E183,E207,E217,E222,E248,E261,E282,E318,E328,)</f>
        <v>42153.1</v>
      </c>
      <c r="N9" s="170">
        <f>SUM(F9,F42,F63,F122,F144,F170,F178,F183,F207,F217,F222,F248,F261,F282,F318,F328,F51)</f>
        <v>52025.400000000009</v>
      </c>
      <c r="O9" s="127"/>
      <c r="P9" s="127"/>
      <c r="Q9" s="127"/>
      <c r="R9" s="114"/>
    </row>
    <row r="10" spans="1:18" ht="29.25" customHeight="1">
      <c r="A10" s="76" t="s">
        <v>139</v>
      </c>
      <c r="B10" s="106" t="s">
        <v>107</v>
      </c>
      <c r="C10" s="84">
        <v>1011</v>
      </c>
      <c r="D10" s="43">
        <f>SUM(D11:D14)</f>
        <v>2279.4999999999995</v>
      </c>
      <c r="E10" s="43">
        <f>SUM(E11:E14)</f>
        <v>3576</v>
      </c>
      <c r="F10" s="43">
        <f>SUM(F11:F15)</f>
        <v>2834.9</v>
      </c>
      <c r="G10" s="175">
        <f t="shared" ref="G10:G29" si="2">F10-E10</f>
        <v>-741.09999999999991</v>
      </c>
      <c r="H10" s="175">
        <f t="shared" ref="H10:H29" si="3">(F10/E10)*100</f>
        <v>79.275727069351234</v>
      </c>
      <c r="K10" s="114">
        <v>1011</v>
      </c>
      <c r="L10" s="48">
        <f>SUM(D10,D43,D64,D123,D145,D171,D184,D208,D262,D283,)</f>
        <v>8638.7999999999993</v>
      </c>
      <c r="M10" s="33">
        <f>SUM(E10,E43,E64,E123,E145,E171,E184,E208,E262,E283,)</f>
        <v>6069.2999999999993</v>
      </c>
      <c r="N10" s="48">
        <f>SUM(F10,F43,F64,F123,F145,F171,F184,F208,F262,F283,F52)</f>
        <v>6832.7</v>
      </c>
      <c r="O10" s="127"/>
      <c r="P10" s="127"/>
      <c r="Q10" s="127"/>
      <c r="R10" s="114"/>
    </row>
    <row r="11" spans="1:18" ht="29.25" customHeight="1">
      <c r="A11" s="76"/>
      <c r="B11" s="77" t="s">
        <v>140</v>
      </c>
      <c r="C11" s="78"/>
      <c r="D11" s="26">
        <v>2153.1999999999998</v>
      </c>
      <c r="E11" s="26">
        <v>3200</v>
      </c>
      <c r="F11" s="26">
        <f>1302.2+1361.4</f>
        <v>2663.6000000000004</v>
      </c>
      <c r="G11" s="111">
        <f t="shared" si="2"/>
        <v>-536.39999999999964</v>
      </c>
      <c r="H11" s="111">
        <f t="shared" si="3"/>
        <v>83.237500000000011</v>
      </c>
      <c r="K11" s="114">
        <v>1012</v>
      </c>
      <c r="L11" s="48">
        <f t="shared" ref="L11:N12" si="4">SUM(D16,D47,D71,D129,D179,D192,)</f>
        <v>27262.2</v>
      </c>
      <c r="M11" s="33">
        <f t="shared" si="4"/>
        <v>24719.1</v>
      </c>
      <c r="N11" s="33">
        <f t="shared" si="4"/>
        <v>32500.899999999998</v>
      </c>
      <c r="O11" s="127"/>
      <c r="P11" s="127"/>
      <c r="Q11" s="127"/>
      <c r="R11" s="48"/>
    </row>
    <row r="12" spans="1:18" ht="26.25" customHeight="1">
      <c r="A12" s="76"/>
      <c r="B12" s="77" t="s">
        <v>141</v>
      </c>
      <c r="C12" s="78"/>
      <c r="D12" s="26">
        <v>113.7</v>
      </c>
      <c r="E12" s="26">
        <v>300</v>
      </c>
      <c r="F12" s="26">
        <f>70.6+61.9</f>
        <v>132.5</v>
      </c>
      <c r="G12" s="111">
        <f t="shared" si="2"/>
        <v>-167.5</v>
      </c>
      <c r="H12" s="111">
        <f t="shared" si="3"/>
        <v>44.166666666666664</v>
      </c>
      <c r="J12" s="138"/>
      <c r="K12" s="114">
        <v>1013</v>
      </c>
      <c r="L12" s="48">
        <f t="shared" si="4"/>
        <v>5764.5999999999995</v>
      </c>
      <c r="M12" s="33">
        <f t="shared" si="4"/>
        <v>5314.8</v>
      </c>
      <c r="N12" s="33">
        <f t="shared" si="4"/>
        <v>6724.5999999999995</v>
      </c>
      <c r="O12" s="127"/>
      <c r="P12" s="127"/>
      <c r="Q12" s="127"/>
      <c r="R12" s="114"/>
    </row>
    <row r="13" spans="1:18" ht="27.75" customHeight="1">
      <c r="A13" s="76"/>
      <c r="B13" s="77" t="s">
        <v>142</v>
      </c>
      <c r="C13" s="78"/>
      <c r="D13" s="26"/>
      <c r="E13" s="26">
        <v>29</v>
      </c>
      <c r="F13" s="26"/>
      <c r="G13" s="111">
        <f t="shared" si="2"/>
        <v>-29</v>
      </c>
      <c r="H13" s="111">
        <f t="shared" si="3"/>
        <v>0</v>
      </c>
      <c r="K13" s="114">
        <v>1014</v>
      </c>
      <c r="L13" s="48">
        <f>SUM(D18,D73,D290,D329)</f>
        <v>892.1</v>
      </c>
      <c r="M13" s="33">
        <f>SUM(E18,E73,E290,E329)</f>
        <v>0</v>
      </c>
      <c r="N13" s="33">
        <f>SUM(F18,F73,F290,F329)</f>
        <v>765.4</v>
      </c>
      <c r="O13" s="127"/>
      <c r="P13" s="127"/>
      <c r="Q13" s="127"/>
    </row>
    <row r="14" spans="1:18" ht="30.75" customHeight="1">
      <c r="A14" s="76"/>
      <c r="B14" s="77" t="s">
        <v>259</v>
      </c>
      <c r="C14" s="78"/>
      <c r="D14" s="26">
        <v>12.6</v>
      </c>
      <c r="E14" s="26">
        <v>47</v>
      </c>
      <c r="F14" s="26">
        <f>8.8+1.3</f>
        <v>10.100000000000001</v>
      </c>
      <c r="G14" s="111">
        <f t="shared" si="2"/>
        <v>-36.9</v>
      </c>
      <c r="H14" s="111">
        <f t="shared" si="3"/>
        <v>21.489361702127663</v>
      </c>
      <c r="K14" s="114">
        <v>1015</v>
      </c>
      <c r="L14" s="48">
        <f>SUM(D19,D74,D131,D148,D194,D218,D223,D249,D268,D291,D319,)</f>
        <v>3441.2999999999997</v>
      </c>
      <c r="M14" s="33">
        <f>SUM(E19,E74,E131,E148,E194,E218,E223,E249,E268,E291,E319,)</f>
        <v>6049.9</v>
      </c>
      <c r="N14" s="48">
        <f>SUM(F19,F74,F131,F148,F194,F218,F223,F249,F268,F291,F319,F58)</f>
        <v>5201.7999999999993</v>
      </c>
      <c r="O14" s="126"/>
      <c r="P14" s="126"/>
      <c r="Q14" s="126"/>
    </row>
    <row r="15" spans="1:18" ht="41.25" customHeight="1">
      <c r="A15" s="76"/>
      <c r="B15" s="86" t="s">
        <v>166</v>
      </c>
      <c r="C15" s="78"/>
      <c r="D15" s="26"/>
      <c r="E15" s="26"/>
      <c r="F15" s="26">
        <v>28.7</v>
      </c>
      <c r="G15" s="111">
        <f t="shared" si="2"/>
        <v>28.7</v>
      </c>
      <c r="H15" s="179" t="e">
        <f t="shared" si="3"/>
        <v>#DIV/0!</v>
      </c>
      <c r="N15" s="114"/>
      <c r="O15" s="126"/>
      <c r="P15" s="126"/>
      <c r="Q15" s="126"/>
    </row>
    <row r="16" spans="1:18" ht="28.5" customHeight="1">
      <c r="A16" s="76" t="s">
        <v>143</v>
      </c>
      <c r="B16" s="106" t="s">
        <v>2</v>
      </c>
      <c r="C16" s="103">
        <v>1012</v>
      </c>
      <c r="D16" s="43">
        <v>22618.9</v>
      </c>
      <c r="E16" s="43">
        <v>24500</v>
      </c>
      <c r="F16" s="43">
        <f>16009.7-1385.3+16314+1212.3-982.7-1182.7</f>
        <v>29985.3</v>
      </c>
      <c r="G16" s="175">
        <f t="shared" si="2"/>
        <v>5485.2999999999993</v>
      </c>
      <c r="H16" s="175">
        <f t="shared" si="3"/>
        <v>122.38897959183672</v>
      </c>
      <c r="K16" s="114">
        <v>1020</v>
      </c>
      <c r="L16" s="170">
        <f>SUM(D30,D99,D154,D199,D251,D273,D302,D331)</f>
        <v>2856.7999999999997</v>
      </c>
      <c r="M16" s="114">
        <f>SUM(E30,E99,E154,E199,E251,E273,E302,E331)</f>
        <v>2341</v>
      </c>
      <c r="N16" s="114">
        <f>SUM(F30,F99,F154,F199,F251,F273,F302,F331)</f>
        <v>3684.2999999999993</v>
      </c>
      <c r="O16" s="127"/>
      <c r="P16" s="127"/>
      <c r="Q16" s="127"/>
    </row>
    <row r="17" spans="1:18" ht="30.75" customHeight="1">
      <c r="A17" s="76" t="s">
        <v>144</v>
      </c>
      <c r="B17" s="106" t="s">
        <v>3</v>
      </c>
      <c r="C17" s="103">
        <v>1013</v>
      </c>
      <c r="D17" s="43">
        <v>4768.3999999999996</v>
      </c>
      <c r="E17" s="43">
        <v>5267.5</v>
      </c>
      <c r="F17" s="43">
        <f>3336.1-390.7+3427+264.5-277.1-333.7</f>
        <v>6026.0999999999995</v>
      </c>
      <c r="G17" s="175">
        <f t="shared" si="2"/>
        <v>758.59999999999945</v>
      </c>
      <c r="H17" s="175">
        <f t="shared" si="3"/>
        <v>114.40151874703368</v>
      </c>
      <c r="K17" s="114">
        <v>1021</v>
      </c>
      <c r="L17" s="48">
        <f>SUM(D100,D303,)</f>
        <v>15.2</v>
      </c>
      <c r="M17" s="33">
        <f t="shared" ref="M17:N17" si="5">SUM(E100,E303,)</f>
        <v>26</v>
      </c>
      <c r="N17" s="33">
        <f t="shared" si="5"/>
        <v>25.1</v>
      </c>
      <c r="O17" s="127"/>
      <c r="P17" s="127"/>
      <c r="Q17" s="127"/>
    </row>
    <row r="18" spans="1:18" ht="25.5" customHeight="1">
      <c r="A18" s="76" t="s">
        <v>145</v>
      </c>
      <c r="B18" s="106" t="s">
        <v>4</v>
      </c>
      <c r="C18" s="103">
        <v>1014</v>
      </c>
      <c r="D18" s="43">
        <v>5.8</v>
      </c>
      <c r="E18" s="43"/>
      <c r="F18" s="43">
        <v>64.400000000000006</v>
      </c>
      <c r="G18" s="175">
        <f t="shared" si="2"/>
        <v>64.400000000000006</v>
      </c>
      <c r="H18" s="180" t="e">
        <f t="shared" si="3"/>
        <v>#DIV/0!</v>
      </c>
      <c r="I18" s="134"/>
      <c r="K18" s="114">
        <v>1022</v>
      </c>
      <c r="L18" s="48">
        <f>SUM(D31,)</f>
        <v>1956.4</v>
      </c>
      <c r="M18" s="33">
        <f t="shared" ref="M18:N18" si="6">SUM(E31,)</f>
        <v>1772</v>
      </c>
      <c r="N18" s="33">
        <f t="shared" si="6"/>
        <v>2247.1999999999998</v>
      </c>
      <c r="O18" s="127"/>
      <c r="P18" s="127"/>
      <c r="Q18" s="127"/>
    </row>
    <row r="19" spans="1:18" ht="28.5" customHeight="1">
      <c r="A19" s="76" t="s">
        <v>146</v>
      </c>
      <c r="B19" s="106" t="s">
        <v>147</v>
      </c>
      <c r="C19" s="103">
        <v>1015</v>
      </c>
      <c r="D19" s="43">
        <f>SUM(D20:D29)</f>
        <v>393.5</v>
      </c>
      <c r="E19" s="43">
        <f>SUM(E20:E29)</f>
        <v>855.6</v>
      </c>
      <c r="F19" s="43">
        <f>SUM(F20:F29)</f>
        <v>403.40000000000003</v>
      </c>
      <c r="G19" s="175">
        <f t="shared" si="2"/>
        <v>-452.2</v>
      </c>
      <c r="H19" s="175">
        <f t="shared" si="3"/>
        <v>47.148200093501643</v>
      </c>
      <c r="K19" s="114">
        <v>1023</v>
      </c>
      <c r="L19" s="48">
        <f>SUM(D32,)</f>
        <v>433.7</v>
      </c>
      <c r="M19" s="33">
        <f t="shared" ref="M19:N19" si="7">SUM(E32,)</f>
        <v>381</v>
      </c>
      <c r="N19" s="33">
        <f t="shared" si="7"/>
        <v>561.70000000000005</v>
      </c>
      <c r="O19" s="127"/>
      <c r="P19" s="127"/>
      <c r="Q19" s="127"/>
      <c r="R19" s="48"/>
    </row>
    <row r="20" spans="1:18" ht="26.25" customHeight="1">
      <c r="A20" s="80"/>
      <c r="B20" s="81" t="s">
        <v>148</v>
      </c>
      <c r="C20" s="82"/>
      <c r="D20" s="43">
        <v>16.600000000000001</v>
      </c>
      <c r="E20" s="43">
        <v>9.6</v>
      </c>
      <c r="F20" s="43"/>
      <c r="G20" s="111">
        <f t="shared" si="2"/>
        <v>-9.6</v>
      </c>
      <c r="H20" s="111">
        <f t="shared" si="3"/>
        <v>0</v>
      </c>
      <c r="K20" s="114">
        <v>1024</v>
      </c>
      <c r="L20" s="48">
        <f>SUM(D332)</f>
        <v>346.3</v>
      </c>
      <c r="M20" s="33">
        <f t="shared" ref="M20:N20" si="8">SUM(E332)</f>
        <v>0</v>
      </c>
      <c r="N20" s="33">
        <f t="shared" si="8"/>
        <v>655.4</v>
      </c>
      <c r="O20" s="127"/>
      <c r="P20" s="127"/>
      <c r="Q20" s="127"/>
      <c r="R20" s="114"/>
    </row>
    <row r="21" spans="1:18" ht="24" customHeight="1">
      <c r="A21" s="80"/>
      <c r="B21" s="77" t="s">
        <v>149</v>
      </c>
      <c r="C21" s="82"/>
      <c r="D21" s="43">
        <v>114.6</v>
      </c>
      <c r="E21" s="43">
        <v>160</v>
      </c>
      <c r="F21" s="43">
        <f>41.9+39.6</f>
        <v>81.5</v>
      </c>
      <c r="G21" s="111">
        <f t="shared" si="2"/>
        <v>-78.5</v>
      </c>
      <c r="H21" s="111">
        <f t="shared" si="3"/>
        <v>50.9375</v>
      </c>
      <c r="K21" s="114">
        <v>1025</v>
      </c>
      <c r="L21" s="48">
        <f>SUM(D33,D104,D200,D252,D274,D306,D155)</f>
        <v>105.20000000000002</v>
      </c>
      <c r="M21" s="33">
        <f>SUM(E33,E104,E200,E252,E274,E306,E155)</f>
        <v>162</v>
      </c>
      <c r="N21" s="33">
        <f>SUM(F33,F104,F200,F252,F274,F306,F155)</f>
        <v>194.9</v>
      </c>
      <c r="O21" s="127"/>
      <c r="P21" s="127"/>
      <c r="Q21" s="127"/>
    </row>
    <row r="22" spans="1:18" ht="25.5" customHeight="1">
      <c r="A22" s="80"/>
      <c r="B22" s="77" t="s">
        <v>150</v>
      </c>
      <c r="C22" s="82"/>
      <c r="D22" s="43">
        <v>23.8</v>
      </c>
      <c r="E22" s="43">
        <v>50</v>
      </c>
      <c r="F22" s="43">
        <v>48.9</v>
      </c>
      <c r="G22" s="111">
        <f t="shared" si="2"/>
        <v>-1.1000000000000014</v>
      </c>
      <c r="H22" s="111">
        <f t="shared" si="3"/>
        <v>97.8</v>
      </c>
      <c r="N22" s="114"/>
      <c r="O22" s="126"/>
      <c r="P22" s="126"/>
      <c r="Q22" s="126"/>
    </row>
    <row r="23" spans="1:18" ht="24.75" customHeight="1">
      <c r="A23" s="80"/>
      <c r="B23" s="77" t="s">
        <v>151</v>
      </c>
      <c r="C23" s="82"/>
      <c r="D23" s="43">
        <v>18</v>
      </c>
      <c r="E23" s="43">
        <v>24.5</v>
      </c>
      <c r="F23" s="43">
        <f>3.5+12.5</f>
        <v>16</v>
      </c>
      <c r="G23" s="111">
        <f t="shared" si="2"/>
        <v>-8.5</v>
      </c>
      <c r="H23" s="111">
        <f t="shared" si="3"/>
        <v>65.306122448979593</v>
      </c>
      <c r="K23" s="114">
        <v>1030</v>
      </c>
      <c r="L23" s="170">
        <f>SUM(D37,D115,D139,D163,D227,D234,D241,D256,D277,D323,)</f>
        <v>299.39999999999998</v>
      </c>
      <c r="M23" s="114">
        <f>SUM(E37,E115,E139,E163,E227,E234,E241,E256,E277,E323,)</f>
        <v>186.7</v>
      </c>
      <c r="N23" s="114">
        <f>SUM(F37,F115,F139,F163,F227,F234,F241,F256,F277,F323,)</f>
        <v>542.4</v>
      </c>
      <c r="O23" s="127"/>
      <c r="P23" s="127"/>
      <c r="Q23" s="127"/>
    </row>
    <row r="24" spans="1:18" ht="24" customHeight="1">
      <c r="A24" s="80"/>
      <c r="B24" s="77" t="s">
        <v>152</v>
      </c>
      <c r="C24" s="82"/>
      <c r="D24" s="43">
        <v>137</v>
      </c>
      <c r="E24" s="43">
        <v>240</v>
      </c>
      <c r="F24" s="43">
        <v>63.4</v>
      </c>
      <c r="G24" s="111">
        <f t="shared" si="2"/>
        <v>-176.6</v>
      </c>
      <c r="H24" s="111">
        <f t="shared" si="3"/>
        <v>26.416666666666664</v>
      </c>
      <c r="K24" s="114">
        <v>1031</v>
      </c>
    </row>
    <row r="25" spans="1:18" ht="24" customHeight="1">
      <c r="A25" s="80"/>
      <c r="B25" s="77" t="s">
        <v>153</v>
      </c>
      <c r="C25" s="82" t="s">
        <v>252</v>
      </c>
      <c r="D25" s="43">
        <v>27.1</v>
      </c>
      <c r="E25" s="43">
        <v>302.2</v>
      </c>
      <c r="F25" s="43">
        <f>54.5+56.6-34.3</f>
        <v>76.8</v>
      </c>
      <c r="G25" s="111">
        <f t="shared" si="2"/>
        <v>-225.39999999999998</v>
      </c>
      <c r="H25" s="111">
        <f t="shared" si="3"/>
        <v>25.413633355393777</v>
      </c>
      <c r="K25" s="114">
        <v>1032</v>
      </c>
      <c r="L25" s="48">
        <f>SUM(D38,)</f>
        <v>157.6</v>
      </c>
      <c r="M25" s="33">
        <f t="shared" ref="M25:N25" si="9">SUM(E38,)</f>
        <v>0</v>
      </c>
      <c r="N25" s="33">
        <f t="shared" si="9"/>
        <v>360.1</v>
      </c>
      <c r="O25" s="127"/>
      <c r="P25" s="127"/>
      <c r="Q25" s="127"/>
    </row>
    <row r="26" spans="1:18" ht="27.75" customHeight="1">
      <c r="A26" s="80"/>
      <c r="B26" s="77" t="s">
        <v>154</v>
      </c>
      <c r="C26" s="82"/>
      <c r="D26" s="43">
        <v>23.5</v>
      </c>
      <c r="E26" s="43">
        <v>38.700000000000003</v>
      </c>
      <c r="F26" s="43">
        <v>30.1</v>
      </c>
      <c r="G26" s="111">
        <f t="shared" si="2"/>
        <v>-8.6000000000000014</v>
      </c>
      <c r="H26" s="111">
        <f t="shared" si="3"/>
        <v>77.777777777777786</v>
      </c>
      <c r="K26" s="114">
        <v>1033</v>
      </c>
      <c r="L26" s="48">
        <f>SUM(D39,)</f>
        <v>55.8</v>
      </c>
      <c r="M26" s="33">
        <f t="shared" ref="M26:N26" si="10">SUM(E39,)</f>
        <v>0</v>
      </c>
      <c r="N26" s="33">
        <f t="shared" si="10"/>
        <v>106.8</v>
      </c>
      <c r="O26" s="127"/>
      <c r="P26" s="127"/>
      <c r="Q26" s="127"/>
    </row>
    <row r="27" spans="1:18" ht="24.75" customHeight="1">
      <c r="A27" s="80"/>
      <c r="B27" s="77" t="s">
        <v>169</v>
      </c>
      <c r="C27" s="82"/>
      <c r="D27" s="43"/>
      <c r="E27" s="43"/>
      <c r="F27" s="43">
        <v>61.9</v>
      </c>
      <c r="G27" s="111">
        <f t="shared" si="2"/>
        <v>61.9</v>
      </c>
      <c r="H27" s="179" t="e">
        <f t="shared" si="3"/>
        <v>#DIV/0!</v>
      </c>
      <c r="K27" s="114">
        <v>1034</v>
      </c>
      <c r="O27" s="127"/>
      <c r="P27" s="127"/>
      <c r="Q27" s="127"/>
    </row>
    <row r="28" spans="1:18" ht="27" customHeight="1">
      <c r="A28" s="80"/>
      <c r="B28" s="81" t="s">
        <v>155</v>
      </c>
      <c r="C28" s="82"/>
      <c r="D28" s="43">
        <v>23</v>
      </c>
      <c r="E28" s="43">
        <v>19.2</v>
      </c>
      <c r="F28" s="43">
        <v>23.2</v>
      </c>
      <c r="G28" s="111">
        <f t="shared" si="2"/>
        <v>4</v>
      </c>
      <c r="H28" s="111">
        <f t="shared" si="3"/>
        <v>120.83333333333333</v>
      </c>
      <c r="K28" s="114">
        <v>1035</v>
      </c>
      <c r="L28" s="48">
        <f>SUM(D116,D140,D164,D228,D235,D242,D257,D278,D324,)</f>
        <v>86</v>
      </c>
      <c r="M28" s="33">
        <f t="shared" ref="M28:N28" si="11">SUM(E116,E140,E164,E228,E235,E242,E257,E278,E324,)</f>
        <v>186.7</v>
      </c>
      <c r="N28" s="33">
        <f t="shared" si="11"/>
        <v>75.5</v>
      </c>
      <c r="O28" s="127"/>
      <c r="P28" s="127"/>
      <c r="Q28" s="127"/>
    </row>
    <row r="29" spans="1:18" ht="25.5" customHeight="1">
      <c r="A29" s="80"/>
      <c r="B29" s="77" t="s">
        <v>156</v>
      </c>
      <c r="C29" s="82"/>
      <c r="D29" s="43">
        <v>9.9</v>
      </c>
      <c r="E29" s="43">
        <v>11.4</v>
      </c>
      <c r="F29" s="43">
        <v>1.6</v>
      </c>
      <c r="G29" s="111">
        <f t="shared" si="2"/>
        <v>-9.8000000000000007</v>
      </c>
      <c r="H29" s="111">
        <f t="shared" si="3"/>
        <v>14.035087719298245</v>
      </c>
      <c r="N29" s="114"/>
      <c r="O29" s="127"/>
      <c r="P29" s="127"/>
      <c r="Q29" s="127"/>
    </row>
    <row r="30" spans="1:18" ht="27" customHeight="1">
      <c r="A30" s="99" t="s">
        <v>88</v>
      </c>
      <c r="B30" s="177" t="s">
        <v>92</v>
      </c>
      <c r="C30" s="119">
        <v>1020</v>
      </c>
      <c r="D30" s="70">
        <f>D31+D32+D33</f>
        <v>2410.6</v>
      </c>
      <c r="E30" s="70">
        <f>E31+E32+E33</f>
        <v>2182.1999999999998</v>
      </c>
      <c r="F30" s="70">
        <f>F31+F32+F33</f>
        <v>2831.0999999999995</v>
      </c>
      <c r="G30" s="110">
        <f>F30-E30</f>
        <v>648.89999999999964</v>
      </c>
      <c r="H30" s="110">
        <f>(F30/E30)*100</f>
        <v>129.73604619191642</v>
      </c>
      <c r="K30" s="114">
        <v>9000</v>
      </c>
      <c r="L30" s="138">
        <f>L10+L17+L24</f>
        <v>8654</v>
      </c>
      <c r="M30" s="33">
        <f t="shared" ref="M30:N30" si="12">M10+M17+M24</f>
        <v>6095.2999999999993</v>
      </c>
      <c r="N30" s="33">
        <f t="shared" si="12"/>
        <v>6857.8</v>
      </c>
    </row>
    <row r="31" spans="1:18" ht="24" customHeight="1">
      <c r="A31" s="76" t="s">
        <v>157</v>
      </c>
      <c r="B31" s="106" t="s">
        <v>2</v>
      </c>
      <c r="C31" s="103">
        <v>1022</v>
      </c>
      <c r="D31" s="43">
        <v>1956.4</v>
      </c>
      <c r="E31" s="43">
        <v>1772</v>
      </c>
      <c r="F31" s="43">
        <f>1064.5+1182.7</f>
        <v>2247.1999999999998</v>
      </c>
      <c r="G31" s="175">
        <f t="shared" ref="G31:G39" si="13">F31-E31</f>
        <v>475.19999999999982</v>
      </c>
      <c r="H31" s="175">
        <f t="shared" ref="H31:H39" si="14">(F31/E31)*100</f>
        <v>126.81715575620767</v>
      </c>
      <c r="K31" s="114">
        <v>9010</v>
      </c>
      <c r="L31" s="33">
        <f t="shared" ref="L31:N34" si="15">L11+L18+L25</f>
        <v>29376.2</v>
      </c>
      <c r="M31" s="33">
        <f t="shared" si="15"/>
        <v>26491.1</v>
      </c>
      <c r="N31" s="33">
        <f t="shared" si="15"/>
        <v>35108.199999999997</v>
      </c>
      <c r="O31" s="116"/>
      <c r="P31" s="116"/>
      <c r="Q31" s="116"/>
    </row>
    <row r="32" spans="1:18" ht="27" customHeight="1">
      <c r="A32" s="76" t="s">
        <v>158</v>
      </c>
      <c r="B32" s="106" t="s">
        <v>3</v>
      </c>
      <c r="C32" s="103">
        <v>1023</v>
      </c>
      <c r="D32" s="43">
        <v>433.7</v>
      </c>
      <c r="E32" s="43">
        <v>381</v>
      </c>
      <c r="F32" s="43">
        <f>228+333.7</f>
        <v>561.70000000000005</v>
      </c>
      <c r="G32" s="175">
        <f t="shared" si="13"/>
        <v>180.70000000000005</v>
      </c>
      <c r="H32" s="175">
        <f t="shared" si="14"/>
        <v>147.42782152230973</v>
      </c>
      <c r="K32" s="114">
        <v>9020</v>
      </c>
      <c r="L32" s="33">
        <f t="shared" si="15"/>
        <v>6254.0999999999995</v>
      </c>
      <c r="M32" s="33">
        <f t="shared" si="15"/>
        <v>5695.8</v>
      </c>
      <c r="N32" s="33">
        <f t="shared" si="15"/>
        <v>7393.0999999999995</v>
      </c>
      <c r="O32" s="116"/>
      <c r="P32" s="116"/>
      <c r="Q32" s="116"/>
    </row>
    <row r="33" spans="1:17" ht="24" customHeight="1">
      <c r="A33" s="76" t="s">
        <v>159</v>
      </c>
      <c r="B33" s="106" t="s">
        <v>160</v>
      </c>
      <c r="C33" s="84">
        <v>1025</v>
      </c>
      <c r="D33" s="43">
        <f>SUM(D34:D36)</f>
        <v>20.5</v>
      </c>
      <c r="E33" s="43">
        <f>SUM(E34:E36)</f>
        <v>29.2</v>
      </c>
      <c r="F33" s="43">
        <f>SUM(F34:F36)</f>
        <v>22.2</v>
      </c>
      <c r="G33" s="175">
        <f t="shared" si="13"/>
        <v>-7</v>
      </c>
      <c r="H33" s="175">
        <f t="shared" si="14"/>
        <v>76.027397260273972</v>
      </c>
      <c r="K33" s="114">
        <v>9030</v>
      </c>
      <c r="L33" s="33">
        <f t="shared" si="15"/>
        <v>1238.4000000000001</v>
      </c>
      <c r="M33" s="33">
        <f t="shared" si="15"/>
        <v>0</v>
      </c>
      <c r="N33" s="33">
        <f t="shared" si="15"/>
        <v>1420.8</v>
      </c>
      <c r="O33" s="117"/>
      <c r="P33" s="117"/>
      <c r="Q33" s="117"/>
    </row>
    <row r="34" spans="1:17" ht="26.25" customHeight="1">
      <c r="A34" s="74"/>
      <c r="B34" s="77" t="s">
        <v>156</v>
      </c>
      <c r="C34" s="78"/>
      <c r="D34" s="43">
        <v>2.9</v>
      </c>
      <c r="E34" s="43">
        <v>3.4</v>
      </c>
      <c r="F34" s="43"/>
      <c r="G34" s="111">
        <f t="shared" si="13"/>
        <v>-3.4</v>
      </c>
      <c r="H34" s="111">
        <f t="shared" si="14"/>
        <v>0</v>
      </c>
      <c r="K34" s="114">
        <v>9040</v>
      </c>
      <c r="L34" s="33">
        <f t="shared" si="15"/>
        <v>3632.4999999999995</v>
      </c>
      <c r="M34" s="33">
        <f t="shared" si="15"/>
        <v>6398.5999999999995</v>
      </c>
      <c r="N34" s="33">
        <f t="shared" si="15"/>
        <v>5472.1999999999989</v>
      </c>
      <c r="O34" s="117"/>
      <c r="P34" s="117"/>
      <c r="Q34" s="117"/>
    </row>
    <row r="35" spans="1:17" ht="40.5" customHeight="1">
      <c r="A35" s="74"/>
      <c r="B35" s="77" t="s">
        <v>161</v>
      </c>
      <c r="C35" s="78"/>
      <c r="D35" s="43">
        <v>16</v>
      </c>
      <c r="E35" s="43">
        <v>24</v>
      </c>
      <c r="F35" s="43">
        <v>22.2</v>
      </c>
      <c r="G35" s="111">
        <f t="shared" si="13"/>
        <v>-1.8000000000000007</v>
      </c>
      <c r="H35" s="111">
        <f t="shared" si="14"/>
        <v>92.5</v>
      </c>
      <c r="K35" s="114">
        <v>9050</v>
      </c>
      <c r="L35" s="142">
        <f>SUM(L30:L34)</f>
        <v>49155.199999999997</v>
      </c>
      <c r="M35" s="114">
        <f>SUM(M30:M34)</f>
        <v>44680.799999999996</v>
      </c>
      <c r="N35" s="114">
        <f>SUM(N30:N34)</f>
        <v>56252.1</v>
      </c>
      <c r="O35" s="116"/>
      <c r="P35" s="116"/>
      <c r="Q35" s="116"/>
    </row>
    <row r="36" spans="1:17" ht="33.75" customHeight="1">
      <c r="A36" s="74"/>
      <c r="B36" s="77" t="s">
        <v>162</v>
      </c>
      <c r="C36" s="78"/>
      <c r="D36" s="43">
        <v>1.6</v>
      </c>
      <c r="E36" s="43">
        <v>1.8</v>
      </c>
      <c r="F36" s="43"/>
      <c r="G36" s="111">
        <f t="shared" si="13"/>
        <v>-1.8</v>
      </c>
      <c r="H36" s="111">
        <f t="shared" si="14"/>
        <v>0</v>
      </c>
      <c r="N36" s="114"/>
      <c r="O36" s="126"/>
      <c r="P36" s="126"/>
      <c r="Q36" s="126"/>
    </row>
    <row r="37" spans="1:17" ht="30" customHeight="1">
      <c r="A37" s="99" t="s">
        <v>91</v>
      </c>
      <c r="B37" s="118" t="s">
        <v>93</v>
      </c>
      <c r="C37" s="119">
        <v>1030</v>
      </c>
      <c r="D37" s="70">
        <f>D38+D39</f>
        <v>213.39999999999998</v>
      </c>
      <c r="E37" s="70">
        <f>E38+E39</f>
        <v>0</v>
      </c>
      <c r="F37" s="70">
        <f>F38+F39</f>
        <v>466.90000000000003</v>
      </c>
      <c r="G37" s="110">
        <f t="shared" si="13"/>
        <v>466.90000000000003</v>
      </c>
      <c r="H37" s="178" t="e">
        <f t="shared" si="14"/>
        <v>#DIV/0!</v>
      </c>
    </row>
    <row r="38" spans="1:17" ht="23.25" customHeight="1">
      <c r="A38" s="76" t="s">
        <v>163</v>
      </c>
      <c r="B38" s="106" t="s">
        <v>2</v>
      </c>
      <c r="C38" s="103">
        <v>1032</v>
      </c>
      <c r="D38" s="43">
        <v>157.6</v>
      </c>
      <c r="E38" s="43"/>
      <c r="F38" s="43">
        <f>282.8+77.3</f>
        <v>360.1</v>
      </c>
      <c r="G38" s="175">
        <f t="shared" si="13"/>
        <v>360.1</v>
      </c>
      <c r="H38" s="180" t="e">
        <f t="shared" si="14"/>
        <v>#DIV/0!</v>
      </c>
    </row>
    <row r="39" spans="1:17" ht="23.25" customHeight="1">
      <c r="A39" s="76" t="s">
        <v>164</v>
      </c>
      <c r="B39" s="106" t="s">
        <v>3</v>
      </c>
      <c r="C39" s="103">
        <v>1033</v>
      </c>
      <c r="D39" s="43">
        <v>55.8</v>
      </c>
      <c r="E39" s="43"/>
      <c r="F39" s="43">
        <f>74.1+32.7</f>
        <v>106.8</v>
      </c>
      <c r="G39" s="175">
        <f t="shared" si="13"/>
        <v>106.8</v>
      </c>
      <c r="H39" s="180" t="e">
        <f t="shared" si="14"/>
        <v>#DIV/0!</v>
      </c>
    </row>
    <row r="40" spans="1:17" ht="42" customHeight="1">
      <c r="A40" s="192" t="s">
        <v>94</v>
      </c>
      <c r="B40" s="217" t="s">
        <v>270</v>
      </c>
      <c r="C40" s="79"/>
      <c r="D40" s="24">
        <f>D42</f>
        <v>3343.7000000000003</v>
      </c>
      <c r="E40" s="24">
        <f>E42</f>
        <v>0</v>
      </c>
      <c r="F40" s="24">
        <f>F42</f>
        <v>3038</v>
      </c>
      <c r="G40" s="110">
        <f t="shared" ref="G40" si="16">F40-E40</f>
        <v>3038</v>
      </c>
      <c r="H40" s="179" t="e">
        <f t="shared" ref="H40" si="17">(F40/E40)*100</f>
        <v>#DIV/0!</v>
      </c>
    </row>
    <row r="41" spans="1:17" ht="23.25" customHeight="1">
      <c r="A41" s="128"/>
      <c r="B41" s="96" t="s">
        <v>86</v>
      </c>
      <c r="C41" s="88"/>
      <c r="D41" s="24"/>
      <c r="E41" s="24"/>
      <c r="F41" s="24"/>
      <c r="G41" s="111"/>
      <c r="H41" s="111"/>
    </row>
    <row r="42" spans="1:17" ht="23.25" customHeight="1">
      <c r="A42" s="99" t="s">
        <v>400</v>
      </c>
      <c r="B42" s="171" t="s">
        <v>90</v>
      </c>
      <c r="C42" s="119">
        <v>1010</v>
      </c>
      <c r="D42" s="70">
        <f>D47+D48+D43</f>
        <v>3343.7000000000003</v>
      </c>
      <c r="E42" s="70">
        <f>E47+E48</f>
        <v>0</v>
      </c>
      <c r="F42" s="70">
        <f>F47+F48+F43</f>
        <v>3038</v>
      </c>
      <c r="G42" s="172">
        <f t="shared" ref="G42:G48" si="18">F42-E42</f>
        <v>3038</v>
      </c>
      <c r="H42" s="181" t="e">
        <f t="shared" ref="H42:H48" si="19">(F42/E42)*100</f>
        <v>#DIV/0!</v>
      </c>
    </row>
    <row r="43" spans="1:17" ht="23.25" customHeight="1">
      <c r="A43" s="76" t="s">
        <v>165</v>
      </c>
      <c r="B43" s="92" t="s">
        <v>107</v>
      </c>
      <c r="C43" s="84">
        <v>1011</v>
      </c>
      <c r="D43" s="43">
        <f>D44+D45+D46</f>
        <v>135.4</v>
      </c>
      <c r="E43" s="43"/>
      <c r="F43" s="43">
        <f>F44</f>
        <v>2.2000000000000002</v>
      </c>
      <c r="G43" s="175">
        <f t="shared" si="18"/>
        <v>2.2000000000000002</v>
      </c>
      <c r="H43" s="180" t="e">
        <f t="shared" si="19"/>
        <v>#DIV/0!</v>
      </c>
    </row>
    <row r="44" spans="1:17" ht="23.25" customHeight="1">
      <c r="A44" s="98"/>
      <c r="B44" s="101" t="s">
        <v>140</v>
      </c>
      <c r="C44" s="107"/>
      <c r="D44" s="26">
        <v>58.4</v>
      </c>
      <c r="E44" s="24"/>
      <c r="F44" s="26">
        <v>2.2000000000000002</v>
      </c>
      <c r="G44" s="111">
        <f t="shared" si="18"/>
        <v>2.2000000000000002</v>
      </c>
      <c r="H44" s="179" t="e">
        <f t="shared" si="19"/>
        <v>#DIV/0!</v>
      </c>
    </row>
    <row r="45" spans="1:17" ht="23.25" customHeight="1">
      <c r="A45" s="98"/>
      <c r="B45" s="101" t="s">
        <v>141</v>
      </c>
      <c r="C45" s="107"/>
      <c r="D45" s="26">
        <v>57.7</v>
      </c>
      <c r="E45" s="24"/>
      <c r="F45" s="24"/>
      <c r="G45" s="111">
        <f t="shared" si="18"/>
        <v>0</v>
      </c>
      <c r="H45" s="179" t="e">
        <f t="shared" si="19"/>
        <v>#DIV/0!</v>
      </c>
    </row>
    <row r="46" spans="1:17" ht="23.25" customHeight="1">
      <c r="A46" s="98"/>
      <c r="B46" s="101" t="s">
        <v>292</v>
      </c>
      <c r="C46" s="107"/>
      <c r="D46" s="26">
        <v>19.3</v>
      </c>
      <c r="E46" s="24"/>
      <c r="F46" s="24"/>
      <c r="G46" s="111">
        <f t="shared" si="18"/>
        <v>0</v>
      </c>
      <c r="H46" s="179" t="e">
        <f t="shared" si="19"/>
        <v>#DIV/0!</v>
      </c>
    </row>
    <row r="47" spans="1:17" ht="23.25" customHeight="1">
      <c r="A47" s="76" t="s">
        <v>387</v>
      </c>
      <c r="B47" s="106" t="s">
        <v>2</v>
      </c>
      <c r="C47" s="103">
        <v>1012</v>
      </c>
      <c r="D47" s="43">
        <v>2629.6</v>
      </c>
      <c r="E47" s="43"/>
      <c r="F47" s="43">
        <f>1385.3+982.7</f>
        <v>2368</v>
      </c>
      <c r="G47" s="175">
        <f t="shared" si="18"/>
        <v>2368</v>
      </c>
      <c r="H47" s="180" t="e">
        <f t="shared" si="19"/>
        <v>#DIV/0!</v>
      </c>
    </row>
    <row r="48" spans="1:17" ht="23.25" customHeight="1">
      <c r="A48" s="76" t="s">
        <v>388</v>
      </c>
      <c r="B48" s="106" t="s">
        <v>3</v>
      </c>
      <c r="C48" s="103">
        <v>1013</v>
      </c>
      <c r="D48" s="43">
        <v>578.70000000000005</v>
      </c>
      <c r="E48" s="43"/>
      <c r="F48" s="43">
        <f>390.7+277.1</f>
        <v>667.8</v>
      </c>
      <c r="G48" s="175">
        <f t="shared" si="18"/>
        <v>667.8</v>
      </c>
      <c r="H48" s="180" t="e">
        <f t="shared" si="19"/>
        <v>#DIV/0!</v>
      </c>
    </row>
    <row r="49" spans="1:12" ht="45.75" customHeight="1">
      <c r="A49" s="74" t="s">
        <v>105</v>
      </c>
      <c r="B49" s="226" t="s">
        <v>403</v>
      </c>
      <c r="C49" s="79"/>
      <c r="D49" s="24"/>
      <c r="E49" s="24"/>
      <c r="F49" s="24">
        <f>F51</f>
        <v>163.9</v>
      </c>
      <c r="G49" s="110">
        <f t="shared" ref="G49" si="20">F49-E49</f>
        <v>163.9</v>
      </c>
      <c r="H49" s="178" t="e">
        <f t="shared" ref="H49" si="21">(F49/E49)*100</f>
        <v>#DIV/0!</v>
      </c>
    </row>
    <row r="50" spans="1:12" ht="23.25" customHeight="1">
      <c r="A50" s="76"/>
      <c r="B50" s="106" t="s">
        <v>86</v>
      </c>
      <c r="C50" s="103"/>
      <c r="D50" s="43"/>
      <c r="E50" s="43"/>
      <c r="F50" s="43"/>
      <c r="G50" s="175"/>
      <c r="H50" s="180"/>
    </row>
    <row r="51" spans="1:12" ht="23.25" customHeight="1">
      <c r="A51" s="83" t="s">
        <v>389</v>
      </c>
      <c r="B51" s="173" t="s">
        <v>90</v>
      </c>
      <c r="C51" s="176">
        <v>1010</v>
      </c>
      <c r="D51" s="70">
        <v>0</v>
      </c>
      <c r="E51" s="70"/>
      <c r="F51" s="70">
        <f>F52+F58</f>
        <v>163.9</v>
      </c>
      <c r="G51" s="172">
        <f t="shared" ref="G51:G60" si="22">F51-E51</f>
        <v>163.9</v>
      </c>
      <c r="H51" s="181" t="e">
        <f t="shared" ref="H51:H60" si="23">(F51/E51)*100</f>
        <v>#DIV/0!</v>
      </c>
    </row>
    <row r="52" spans="1:12" ht="23.25" customHeight="1">
      <c r="A52" s="76" t="s">
        <v>390</v>
      </c>
      <c r="B52" s="106" t="s">
        <v>107</v>
      </c>
      <c r="C52" s="103">
        <v>1011</v>
      </c>
      <c r="D52" s="43">
        <v>0</v>
      </c>
      <c r="E52" s="43"/>
      <c r="F52" s="43">
        <f>F53+F54+F55+F56+F57</f>
        <v>134</v>
      </c>
      <c r="G52" s="175">
        <f t="shared" si="22"/>
        <v>134</v>
      </c>
      <c r="H52" s="180" t="e">
        <f t="shared" si="23"/>
        <v>#DIV/0!</v>
      </c>
    </row>
    <row r="53" spans="1:12" ht="23.25" customHeight="1">
      <c r="A53" s="76"/>
      <c r="B53" s="77" t="s">
        <v>140</v>
      </c>
      <c r="C53" s="103"/>
      <c r="D53" s="43">
        <v>0</v>
      </c>
      <c r="E53" s="43"/>
      <c r="F53" s="26">
        <v>43.4</v>
      </c>
      <c r="G53" s="111">
        <f t="shared" si="22"/>
        <v>43.4</v>
      </c>
      <c r="H53" s="180" t="e">
        <f t="shared" si="23"/>
        <v>#DIV/0!</v>
      </c>
    </row>
    <row r="54" spans="1:12" ht="23.25" customHeight="1">
      <c r="A54" s="76"/>
      <c r="B54" s="77" t="s">
        <v>141</v>
      </c>
      <c r="C54" s="103"/>
      <c r="D54" s="43">
        <v>0</v>
      </c>
      <c r="E54" s="43"/>
      <c r="F54" s="26">
        <v>20.7</v>
      </c>
      <c r="G54" s="111">
        <f t="shared" si="22"/>
        <v>20.7</v>
      </c>
      <c r="H54" s="180" t="e">
        <f t="shared" si="23"/>
        <v>#DIV/0!</v>
      </c>
    </row>
    <row r="55" spans="1:12" ht="23.25" customHeight="1">
      <c r="A55" s="76"/>
      <c r="B55" s="77" t="s">
        <v>259</v>
      </c>
      <c r="C55" s="103"/>
      <c r="D55" s="43">
        <v>0</v>
      </c>
      <c r="E55" s="43"/>
      <c r="F55" s="26">
        <v>6.8</v>
      </c>
      <c r="G55" s="111">
        <f t="shared" si="22"/>
        <v>6.8</v>
      </c>
      <c r="H55" s="180" t="e">
        <f t="shared" si="23"/>
        <v>#DIV/0!</v>
      </c>
    </row>
    <row r="56" spans="1:12" ht="41.25" customHeight="1">
      <c r="A56" s="76"/>
      <c r="B56" s="77" t="s">
        <v>166</v>
      </c>
      <c r="C56" s="103"/>
      <c r="D56" s="43">
        <v>0</v>
      </c>
      <c r="E56" s="43"/>
      <c r="F56" s="26">
        <f>14.5+41.6</f>
        <v>56.1</v>
      </c>
      <c r="G56" s="111">
        <f t="shared" si="22"/>
        <v>56.1</v>
      </c>
      <c r="H56" s="180" t="e">
        <f t="shared" si="23"/>
        <v>#DIV/0!</v>
      </c>
    </row>
    <row r="57" spans="1:12" ht="23.25" customHeight="1">
      <c r="A57" s="76"/>
      <c r="B57" s="77" t="s">
        <v>167</v>
      </c>
      <c r="C57" s="103"/>
      <c r="D57" s="43">
        <v>0</v>
      </c>
      <c r="E57" s="43"/>
      <c r="F57" s="26">
        <v>7</v>
      </c>
      <c r="G57" s="111">
        <f t="shared" si="22"/>
        <v>7</v>
      </c>
      <c r="H57" s="180" t="e">
        <f t="shared" si="23"/>
        <v>#DIV/0!</v>
      </c>
    </row>
    <row r="58" spans="1:12" ht="23.25" customHeight="1">
      <c r="A58" s="76" t="s">
        <v>391</v>
      </c>
      <c r="B58" s="106" t="s">
        <v>98</v>
      </c>
      <c r="C58" s="103">
        <v>1015</v>
      </c>
      <c r="D58" s="43">
        <v>0</v>
      </c>
      <c r="E58" s="43"/>
      <c r="F58" s="43">
        <f>F59+F60</f>
        <v>29.9</v>
      </c>
      <c r="G58" s="175">
        <f t="shared" si="22"/>
        <v>29.9</v>
      </c>
      <c r="H58" s="180" t="e">
        <f t="shared" si="23"/>
        <v>#DIV/0!</v>
      </c>
    </row>
    <row r="59" spans="1:12" ht="23.25" customHeight="1">
      <c r="A59" s="76"/>
      <c r="B59" s="77" t="s">
        <v>153</v>
      </c>
      <c r="C59" s="103"/>
      <c r="D59" s="43">
        <v>0</v>
      </c>
      <c r="E59" s="43"/>
      <c r="F59" s="26">
        <v>25.8</v>
      </c>
      <c r="G59" s="111">
        <f t="shared" si="22"/>
        <v>25.8</v>
      </c>
      <c r="H59" s="180" t="e">
        <f t="shared" si="23"/>
        <v>#DIV/0!</v>
      </c>
    </row>
    <row r="60" spans="1:12" ht="23.25" customHeight="1">
      <c r="A60" s="76"/>
      <c r="B60" s="77" t="s">
        <v>172</v>
      </c>
      <c r="C60" s="103"/>
      <c r="D60" s="43">
        <v>0</v>
      </c>
      <c r="E60" s="43"/>
      <c r="F60" s="26">
        <v>4.0999999999999996</v>
      </c>
      <c r="G60" s="111">
        <f t="shared" si="22"/>
        <v>4.0999999999999996</v>
      </c>
      <c r="H60" s="180" t="e">
        <f t="shared" si="23"/>
        <v>#DIV/0!</v>
      </c>
    </row>
    <row r="61" spans="1:12" ht="44.25" customHeight="1">
      <c r="A61" s="192" t="s">
        <v>106</v>
      </c>
      <c r="B61" s="219" t="s">
        <v>272</v>
      </c>
      <c r="C61" s="87"/>
      <c r="D61" s="24">
        <f>D63+D99+D115</f>
        <v>526.79999999999995</v>
      </c>
      <c r="E61" s="24">
        <f>E63+E99+E115</f>
        <v>1665</v>
      </c>
      <c r="F61" s="24">
        <f>F63+F99+F115</f>
        <v>357.79999999999995</v>
      </c>
      <c r="G61" s="110">
        <f>F61-E61</f>
        <v>-1307.2</v>
      </c>
      <c r="H61" s="110">
        <f>(F61/E61)*100</f>
        <v>21.489489489489486</v>
      </c>
      <c r="L61" s="33">
        <v>357.8</v>
      </c>
    </row>
    <row r="62" spans="1:12" ht="27" customHeight="1">
      <c r="A62" s="128"/>
      <c r="B62" s="96" t="s">
        <v>86</v>
      </c>
      <c r="C62" s="88"/>
      <c r="D62" s="26"/>
      <c r="E62" s="26"/>
      <c r="F62" s="26"/>
      <c r="G62" s="110"/>
      <c r="H62" s="110"/>
    </row>
    <row r="63" spans="1:12" ht="25.5" customHeight="1">
      <c r="A63" s="99" t="s">
        <v>404</v>
      </c>
      <c r="B63" s="171" t="s">
        <v>90</v>
      </c>
      <c r="C63" s="119">
        <v>1010</v>
      </c>
      <c r="D63" s="70">
        <f>D64+D71+D72+D73+D74</f>
        <v>433.29999999999995</v>
      </c>
      <c r="E63" s="70">
        <f>E64+E71+E72+E73+E74</f>
        <v>1575</v>
      </c>
      <c r="F63" s="70">
        <f>F64+F71+F72+F73+F74</f>
        <v>303.7</v>
      </c>
      <c r="G63" s="172">
        <f>F63-E63</f>
        <v>-1271.3</v>
      </c>
      <c r="H63" s="172">
        <f>(F63/E63)*100</f>
        <v>19.282539682539682</v>
      </c>
    </row>
    <row r="64" spans="1:12" ht="36" customHeight="1">
      <c r="A64" s="76" t="s">
        <v>405</v>
      </c>
      <c r="B64" s="92" t="s">
        <v>107</v>
      </c>
      <c r="C64" s="84">
        <v>1011</v>
      </c>
      <c r="D64" s="43">
        <f>SUM(D65:D70)</f>
        <v>206.9</v>
      </c>
      <c r="E64" s="43">
        <f>SUM(E65:E70)</f>
        <v>289.10000000000002</v>
      </c>
      <c r="F64" s="43">
        <f>SUM(F65:F70)</f>
        <v>92.699999999999989</v>
      </c>
      <c r="G64" s="175">
        <f t="shared" ref="G64:G102" si="24">F64-E64</f>
        <v>-196.40000000000003</v>
      </c>
      <c r="H64" s="175">
        <f t="shared" ref="H64:H102" si="25">(F64/E64)*100</f>
        <v>32.06502940159114</v>
      </c>
    </row>
    <row r="65" spans="1:8" ht="24.75" customHeight="1">
      <c r="A65" s="83"/>
      <c r="B65" s="86" t="s">
        <v>140</v>
      </c>
      <c r="C65" s="84"/>
      <c r="D65" s="26">
        <v>98.6</v>
      </c>
      <c r="E65" s="26">
        <v>90</v>
      </c>
      <c r="F65" s="26">
        <f>43.4+28.1-43.4</f>
        <v>28.1</v>
      </c>
      <c r="G65" s="111">
        <f t="shared" si="24"/>
        <v>-61.9</v>
      </c>
      <c r="H65" s="111">
        <f t="shared" si="25"/>
        <v>31.222222222222225</v>
      </c>
    </row>
    <row r="66" spans="1:8" ht="24.75" customHeight="1">
      <c r="A66" s="83"/>
      <c r="B66" s="86" t="s">
        <v>141</v>
      </c>
      <c r="C66" s="84"/>
      <c r="D66" s="26">
        <v>10.8</v>
      </c>
      <c r="E66" s="26">
        <v>52</v>
      </c>
      <c r="F66" s="26">
        <f>20.7+9.9-20.7</f>
        <v>9.9000000000000021</v>
      </c>
      <c r="G66" s="111">
        <f t="shared" si="24"/>
        <v>-42.099999999999994</v>
      </c>
      <c r="H66" s="111">
        <f t="shared" si="25"/>
        <v>19.038461538461544</v>
      </c>
    </row>
    <row r="67" spans="1:8" ht="24" customHeight="1">
      <c r="A67" s="83"/>
      <c r="B67" s="86" t="s">
        <v>259</v>
      </c>
      <c r="C67" s="84"/>
      <c r="D67" s="26">
        <v>2.9</v>
      </c>
      <c r="E67" s="26">
        <v>10</v>
      </c>
      <c r="F67" s="26">
        <f>6.8+14.8-6.8</f>
        <v>14.8</v>
      </c>
      <c r="G67" s="111">
        <f t="shared" si="24"/>
        <v>4.8000000000000007</v>
      </c>
      <c r="H67" s="111">
        <f t="shared" si="25"/>
        <v>148</v>
      </c>
    </row>
    <row r="68" spans="1:8" ht="39" customHeight="1">
      <c r="A68" s="74"/>
      <c r="B68" s="86" t="s">
        <v>166</v>
      </c>
      <c r="C68" s="85"/>
      <c r="D68" s="26">
        <v>77</v>
      </c>
      <c r="E68" s="26">
        <v>101.1</v>
      </c>
      <c r="F68" s="26">
        <f>27.6-13.1+108.4-40-14.5-41.6</f>
        <v>26.800000000000004</v>
      </c>
      <c r="G68" s="111">
        <f t="shared" si="24"/>
        <v>-74.299999999999983</v>
      </c>
      <c r="H68" s="111">
        <f t="shared" si="25"/>
        <v>26.5084075173096</v>
      </c>
    </row>
    <row r="69" spans="1:8" ht="39" customHeight="1">
      <c r="A69" s="74"/>
      <c r="B69" s="86" t="s">
        <v>293</v>
      </c>
      <c r="C69" s="85"/>
      <c r="D69" s="26">
        <v>17.600000000000001</v>
      </c>
      <c r="E69" s="26"/>
      <c r="F69" s="26"/>
      <c r="G69" s="111">
        <f t="shared" si="24"/>
        <v>0</v>
      </c>
      <c r="H69" s="179" t="e">
        <f t="shared" si="25"/>
        <v>#DIV/0!</v>
      </c>
    </row>
    <row r="70" spans="1:8" ht="27.75" customHeight="1">
      <c r="A70" s="74"/>
      <c r="B70" s="86" t="s">
        <v>167</v>
      </c>
      <c r="C70" s="78"/>
      <c r="D70" s="26"/>
      <c r="E70" s="26">
        <v>36</v>
      </c>
      <c r="F70" s="26">
        <f>7.1-2.1+20.1-5-7</f>
        <v>13.100000000000001</v>
      </c>
      <c r="G70" s="111">
        <f t="shared" si="24"/>
        <v>-22.9</v>
      </c>
      <c r="H70" s="111">
        <f t="shared" si="25"/>
        <v>36.388888888888893</v>
      </c>
    </row>
    <row r="71" spans="1:8" ht="28.5" customHeight="1">
      <c r="A71" s="76" t="s">
        <v>406</v>
      </c>
      <c r="B71" s="85" t="s">
        <v>2</v>
      </c>
      <c r="C71" s="84">
        <v>1012</v>
      </c>
      <c r="D71" s="43"/>
      <c r="E71" s="43"/>
      <c r="F71" s="43">
        <f>119.2+2.9</f>
        <v>122.10000000000001</v>
      </c>
      <c r="G71" s="175">
        <f t="shared" si="24"/>
        <v>122.10000000000001</v>
      </c>
      <c r="H71" s="180" t="e">
        <f t="shared" si="25"/>
        <v>#DIV/0!</v>
      </c>
    </row>
    <row r="72" spans="1:8" ht="27.75" customHeight="1">
      <c r="A72" s="76" t="s">
        <v>407</v>
      </c>
      <c r="B72" s="85" t="s">
        <v>3</v>
      </c>
      <c r="C72" s="84">
        <v>1013</v>
      </c>
      <c r="D72" s="43"/>
      <c r="E72" s="43"/>
      <c r="F72" s="43">
        <f>24.9+0.6</f>
        <v>25.5</v>
      </c>
      <c r="G72" s="175">
        <f t="shared" si="24"/>
        <v>25.5</v>
      </c>
      <c r="H72" s="180" t="e">
        <f t="shared" si="25"/>
        <v>#DIV/0!</v>
      </c>
    </row>
    <row r="73" spans="1:8" ht="25.5" customHeight="1">
      <c r="A73" s="76" t="s">
        <v>392</v>
      </c>
      <c r="B73" s="85" t="s">
        <v>4</v>
      </c>
      <c r="C73" s="84">
        <v>1014</v>
      </c>
      <c r="D73" s="43">
        <v>99.8</v>
      </c>
      <c r="E73" s="43"/>
      <c r="F73" s="43">
        <v>21.7</v>
      </c>
      <c r="G73" s="175">
        <f t="shared" si="24"/>
        <v>21.7</v>
      </c>
      <c r="H73" s="180" t="e">
        <f t="shared" si="25"/>
        <v>#DIV/0!</v>
      </c>
    </row>
    <row r="74" spans="1:8" ht="26.25" customHeight="1">
      <c r="A74" s="76" t="s">
        <v>408</v>
      </c>
      <c r="B74" s="121" t="s">
        <v>98</v>
      </c>
      <c r="C74" s="107">
        <v>1015</v>
      </c>
      <c r="D74" s="43">
        <f>SUM(D75:D98)</f>
        <v>126.6</v>
      </c>
      <c r="E74" s="43">
        <f>SUM(E75:E98)</f>
        <v>1285.9000000000001</v>
      </c>
      <c r="F74" s="43">
        <f>SUM(F75:F98)</f>
        <v>41.7</v>
      </c>
      <c r="G74" s="175">
        <f t="shared" si="24"/>
        <v>-1244.2</v>
      </c>
      <c r="H74" s="175">
        <f t="shared" si="25"/>
        <v>3.2428649195116259</v>
      </c>
    </row>
    <row r="75" spans="1:8" ht="27" customHeight="1">
      <c r="A75" s="74"/>
      <c r="B75" s="81" t="s">
        <v>148</v>
      </c>
      <c r="C75" s="88"/>
      <c r="D75" s="26"/>
      <c r="E75" s="26">
        <v>15</v>
      </c>
      <c r="F75" s="26">
        <f>3.4+0.3</f>
        <v>3.6999999999999997</v>
      </c>
      <c r="G75" s="111">
        <f t="shared" si="24"/>
        <v>-11.3</v>
      </c>
      <c r="H75" s="111">
        <f t="shared" si="25"/>
        <v>24.666666666666664</v>
      </c>
    </row>
    <row r="76" spans="1:8" ht="24" customHeight="1">
      <c r="A76" s="74"/>
      <c r="B76" s="81" t="s">
        <v>149</v>
      </c>
      <c r="C76" s="88"/>
      <c r="D76" s="26"/>
      <c r="E76" s="26">
        <v>7</v>
      </c>
      <c r="F76" s="26"/>
      <c r="G76" s="111">
        <f t="shared" si="24"/>
        <v>-7</v>
      </c>
      <c r="H76" s="111">
        <f t="shared" si="25"/>
        <v>0</v>
      </c>
    </row>
    <row r="77" spans="1:8" ht="29.25" customHeight="1">
      <c r="A77" s="74"/>
      <c r="B77" s="81" t="s">
        <v>150</v>
      </c>
      <c r="C77" s="88"/>
      <c r="D77" s="26"/>
      <c r="E77" s="26">
        <v>24.5</v>
      </c>
      <c r="F77" s="26"/>
      <c r="G77" s="111">
        <f t="shared" si="24"/>
        <v>-24.5</v>
      </c>
      <c r="H77" s="111">
        <f t="shared" si="25"/>
        <v>0</v>
      </c>
    </row>
    <row r="78" spans="1:8" ht="26.25" customHeight="1">
      <c r="A78" s="74"/>
      <c r="B78" s="81" t="s">
        <v>152</v>
      </c>
      <c r="C78" s="88"/>
      <c r="D78" s="26"/>
      <c r="E78" s="26">
        <v>12</v>
      </c>
      <c r="F78" s="26">
        <f>3+2</f>
        <v>5</v>
      </c>
      <c r="G78" s="111">
        <f t="shared" si="24"/>
        <v>-7</v>
      </c>
      <c r="H78" s="111">
        <f t="shared" si="25"/>
        <v>41.666666666666671</v>
      </c>
    </row>
    <row r="79" spans="1:8" ht="25.5" customHeight="1">
      <c r="A79" s="74"/>
      <c r="B79" s="81" t="s">
        <v>153</v>
      </c>
      <c r="C79" s="88"/>
      <c r="D79" s="26">
        <v>14.4</v>
      </c>
      <c r="E79" s="26">
        <v>60</v>
      </c>
      <c r="F79" s="26"/>
      <c r="G79" s="111">
        <f t="shared" si="24"/>
        <v>-60</v>
      </c>
      <c r="H79" s="111">
        <f t="shared" si="25"/>
        <v>0</v>
      </c>
    </row>
    <row r="80" spans="1:8" ht="30.75" customHeight="1">
      <c r="A80" s="74"/>
      <c r="B80" s="81" t="s">
        <v>168</v>
      </c>
      <c r="C80" s="88"/>
      <c r="D80" s="26">
        <v>1.7</v>
      </c>
      <c r="E80" s="26">
        <v>1.6</v>
      </c>
      <c r="F80" s="26"/>
      <c r="G80" s="111">
        <f t="shared" si="24"/>
        <v>-1.6</v>
      </c>
      <c r="H80" s="111">
        <f t="shared" si="25"/>
        <v>0</v>
      </c>
    </row>
    <row r="81" spans="1:8" ht="25.5" customHeight="1">
      <c r="A81" s="74"/>
      <c r="B81" s="81" t="s">
        <v>169</v>
      </c>
      <c r="C81" s="88"/>
      <c r="D81" s="26">
        <v>48.2</v>
      </c>
      <c r="E81" s="26">
        <v>30</v>
      </c>
      <c r="F81" s="26"/>
      <c r="G81" s="111">
        <f t="shared" si="24"/>
        <v>-30</v>
      </c>
      <c r="H81" s="111">
        <f t="shared" si="25"/>
        <v>0</v>
      </c>
    </row>
    <row r="82" spans="1:8" ht="28.5" customHeight="1">
      <c r="A82" s="74"/>
      <c r="B82" s="81" t="s">
        <v>155</v>
      </c>
      <c r="C82" s="88"/>
      <c r="D82" s="26">
        <v>18.8</v>
      </c>
      <c r="E82" s="26">
        <v>16.8</v>
      </c>
      <c r="F82" s="26">
        <f>7.7-1.8</f>
        <v>5.9</v>
      </c>
      <c r="G82" s="111">
        <f t="shared" si="24"/>
        <v>-10.9</v>
      </c>
      <c r="H82" s="111">
        <f t="shared" si="25"/>
        <v>35.11904761904762</v>
      </c>
    </row>
    <row r="83" spans="1:8" ht="29.25" customHeight="1">
      <c r="A83" s="74"/>
      <c r="B83" s="81" t="s">
        <v>170</v>
      </c>
      <c r="C83" s="88"/>
      <c r="D83" s="26">
        <v>10.9</v>
      </c>
      <c r="E83" s="26">
        <v>22</v>
      </c>
      <c r="F83" s="26"/>
      <c r="G83" s="111">
        <f t="shared" si="24"/>
        <v>-22</v>
      </c>
      <c r="H83" s="111">
        <f t="shared" si="25"/>
        <v>0</v>
      </c>
    </row>
    <row r="84" spans="1:8" ht="29.25" customHeight="1">
      <c r="A84" s="74"/>
      <c r="B84" s="81" t="s">
        <v>154</v>
      </c>
      <c r="C84" s="88"/>
      <c r="D84" s="26"/>
      <c r="E84" s="26">
        <v>16</v>
      </c>
      <c r="F84" s="26">
        <v>2.1</v>
      </c>
      <c r="G84" s="111">
        <f t="shared" si="24"/>
        <v>-13.9</v>
      </c>
      <c r="H84" s="111">
        <f t="shared" si="25"/>
        <v>13.125</v>
      </c>
    </row>
    <row r="85" spans="1:8" ht="29.25" customHeight="1">
      <c r="A85" s="74"/>
      <c r="B85" s="81" t="s">
        <v>228</v>
      </c>
      <c r="C85" s="88"/>
      <c r="D85" s="26">
        <v>3.7</v>
      </c>
      <c r="E85" s="26"/>
      <c r="F85" s="26">
        <f>18.5-6</f>
        <v>12.5</v>
      </c>
      <c r="G85" s="111">
        <f t="shared" si="24"/>
        <v>12.5</v>
      </c>
      <c r="H85" s="179" t="e">
        <f t="shared" si="25"/>
        <v>#DIV/0!</v>
      </c>
    </row>
    <row r="86" spans="1:8" ht="28.5" customHeight="1">
      <c r="A86" s="74"/>
      <c r="B86" s="77" t="s">
        <v>156</v>
      </c>
      <c r="C86" s="88"/>
      <c r="D86" s="26">
        <v>6.3</v>
      </c>
      <c r="E86" s="26">
        <v>3.8</v>
      </c>
      <c r="F86" s="26">
        <f>0.3+4</f>
        <v>4.3</v>
      </c>
      <c r="G86" s="111">
        <f t="shared" si="24"/>
        <v>0.5</v>
      </c>
      <c r="H86" s="111">
        <f t="shared" si="25"/>
        <v>113.1578947368421</v>
      </c>
    </row>
    <row r="87" spans="1:8" ht="28.5" customHeight="1">
      <c r="A87" s="74"/>
      <c r="B87" s="77" t="s">
        <v>172</v>
      </c>
      <c r="C87" s="88"/>
      <c r="D87" s="26"/>
      <c r="E87" s="26"/>
      <c r="F87" s="26">
        <v>3.5</v>
      </c>
      <c r="G87" s="111">
        <f t="shared" si="24"/>
        <v>3.5</v>
      </c>
      <c r="H87" s="179" t="e">
        <f t="shared" si="25"/>
        <v>#DIV/0!</v>
      </c>
    </row>
    <row r="88" spans="1:8" ht="32.25" customHeight="1">
      <c r="A88" s="74"/>
      <c r="B88" s="77" t="s">
        <v>173</v>
      </c>
      <c r="C88" s="88"/>
      <c r="D88" s="26"/>
      <c r="E88" s="26">
        <v>4.9000000000000004</v>
      </c>
      <c r="F88" s="26"/>
      <c r="G88" s="111">
        <f t="shared" si="24"/>
        <v>-4.9000000000000004</v>
      </c>
      <c r="H88" s="111">
        <f t="shared" si="25"/>
        <v>0</v>
      </c>
    </row>
    <row r="89" spans="1:8" ht="25.5" customHeight="1">
      <c r="A89" s="76"/>
      <c r="B89" s="81" t="s">
        <v>175</v>
      </c>
      <c r="C89" s="78"/>
      <c r="D89" s="26">
        <v>0.3</v>
      </c>
      <c r="E89" s="26">
        <v>3</v>
      </c>
      <c r="F89" s="26"/>
      <c r="G89" s="111">
        <f t="shared" si="24"/>
        <v>-3</v>
      </c>
      <c r="H89" s="111">
        <f t="shared" si="25"/>
        <v>0</v>
      </c>
    </row>
    <row r="90" spans="1:8" ht="29.25" customHeight="1">
      <c r="A90" s="76"/>
      <c r="B90" s="81" t="s">
        <v>176</v>
      </c>
      <c r="C90" s="78"/>
      <c r="D90" s="26">
        <v>6.8</v>
      </c>
      <c r="E90" s="26">
        <v>517.5</v>
      </c>
      <c r="F90" s="26">
        <v>0.1</v>
      </c>
      <c r="G90" s="111">
        <f t="shared" si="24"/>
        <v>-517.4</v>
      </c>
      <c r="H90" s="111">
        <f t="shared" si="25"/>
        <v>1.9323671497584544E-2</v>
      </c>
    </row>
    <row r="91" spans="1:8" ht="28.5" customHeight="1">
      <c r="A91" s="76"/>
      <c r="B91" s="91" t="s">
        <v>177</v>
      </c>
      <c r="C91" s="78"/>
      <c r="D91" s="26"/>
      <c r="E91" s="26">
        <v>25.8</v>
      </c>
      <c r="F91" s="26">
        <f>0.1+0.6</f>
        <v>0.7</v>
      </c>
      <c r="G91" s="111">
        <f t="shared" si="24"/>
        <v>-25.1</v>
      </c>
      <c r="H91" s="111">
        <f t="shared" si="25"/>
        <v>2.7131782945736429</v>
      </c>
    </row>
    <row r="92" spans="1:8" ht="30.75" customHeight="1">
      <c r="A92" s="76"/>
      <c r="B92" s="91" t="s">
        <v>178</v>
      </c>
      <c r="C92" s="78"/>
      <c r="D92" s="26">
        <v>5</v>
      </c>
      <c r="E92" s="26">
        <v>517</v>
      </c>
      <c r="F92" s="26">
        <f>8.1-5.2+1</f>
        <v>3.8999999999999995</v>
      </c>
      <c r="G92" s="111">
        <f t="shared" si="24"/>
        <v>-513.1</v>
      </c>
      <c r="H92" s="111">
        <f t="shared" si="25"/>
        <v>0.75435203094777559</v>
      </c>
    </row>
    <row r="93" spans="1:8" ht="25.5" customHeight="1">
      <c r="A93" s="76"/>
      <c r="B93" s="91" t="s">
        <v>179</v>
      </c>
      <c r="C93" s="78"/>
      <c r="D93" s="26">
        <v>0.6</v>
      </c>
      <c r="E93" s="26">
        <v>1</v>
      </c>
      <c r="F93" s="26"/>
      <c r="G93" s="111">
        <f t="shared" si="24"/>
        <v>-1</v>
      </c>
      <c r="H93" s="111">
        <f t="shared" si="25"/>
        <v>0</v>
      </c>
    </row>
    <row r="94" spans="1:8" ht="28.5" customHeight="1">
      <c r="A94" s="76"/>
      <c r="B94" s="91" t="s">
        <v>264</v>
      </c>
      <c r="C94" s="78"/>
      <c r="D94" s="26">
        <v>1.6</v>
      </c>
      <c r="E94" s="26">
        <v>1</v>
      </c>
      <c r="F94" s="26"/>
      <c r="G94" s="111">
        <f t="shared" si="24"/>
        <v>-1</v>
      </c>
      <c r="H94" s="111">
        <f t="shared" si="25"/>
        <v>0</v>
      </c>
    </row>
    <row r="95" spans="1:8" ht="27.75" customHeight="1">
      <c r="A95" s="76"/>
      <c r="B95" s="91" t="s">
        <v>261</v>
      </c>
      <c r="C95" s="78"/>
      <c r="D95" s="26">
        <v>2.6</v>
      </c>
      <c r="E95" s="26"/>
      <c r="F95" s="26"/>
      <c r="G95" s="111">
        <f t="shared" si="24"/>
        <v>0</v>
      </c>
      <c r="H95" s="179" t="e">
        <f t="shared" si="25"/>
        <v>#DIV/0!</v>
      </c>
    </row>
    <row r="96" spans="1:8" ht="27.75" customHeight="1">
      <c r="A96" s="76"/>
      <c r="B96" s="91" t="s">
        <v>289</v>
      </c>
      <c r="C96" s="78"/>
      <c r="D96" s="26">
        <v>4</v>
      </c>
      <c r="E96" s="26"/>
      <c r="F96" s="26"/>
      <c r="G96" s="111">
        <f t="shared" si="24"/>
        <v>0</v>
      </c>
      <c r="H96" s="179" t="e">
        <f t="shared" si="25"/>
        <v>#DIV/0!</v>
      </c>
    </row>
    <row r="97" spans="1:8" ht="28.5" customHeight="1">
      <c r="A97" s="76"/>
      <c r="B97" s="91" t="s">
        <v>260</v>
      </c>
      <c r="C97" s="78"/>
      <c r="D97" s="26">
        <v>1.7</v>
      </c>
      <c r="E97" s="26"/>
      <c r="F97" s="26"/>
      <c r="G97" s="111">
        <f t="shared" si="24"/>
        <v>0</v>
      </c>
      <c r="H97" s="179" t="e">
        <f t="shared" si="25"/>
        <v>#DIV/0!</v>
      </c>
    </row>
    <row r="98" spans="1:8" ht="32.25" customHeight="1">
      <c r="A98" s="76"/>
      <c r="B98" s="77" t="s">
        <v>180</v>
      </c>
      <c r="C98" s="78"/>
      <c r="D98" s="26"/>
      <c r="E98" s="26">
        <v>7</v>
      </c>
      <c r="F98" s="26"/>
      <c r="G98" s="111">
        <f t="shared" si="24"/>
        <v>-7</v>
      </c>
      <c r="H98" s="111">
        <f t="shared" si="25"/>
        <v>0</v>
      </c>
    </row>
    <row r="99" spans="1:8" ht="31.5" customHeight="1">
      <c r="A99" s="83" t="s">
        <v>409</v>
      </c>
      <c r="B99" s="182" t="s">
        <v>92</v>
      </c>
      <c r="C99" s="174">
        <v>1020</v>
      </c>
      <c r="D99" s="70">
        <f>D100+D104</f>
        <v>34.5</v>
      </c>
      <c r="E99" s="70">
        <f>E100+E104</f>
        <v>32.799999999999997</v>
      </c>
      <c r="F99" s="70">
        <f>F100+F104</f>
        <v>41.699999999999996</v>
      </c>
      <c r="G99" s="172">
        <f t="shared" si="24"/>
        <v>8.8999999999999986</v>
      </c>
      <c r="H99" s="172">
        <f t="shared" si="25"/>
        <v>127.13414634146341</v>
      </c>
    </row>
    <row r="100" spans="1:8" ht="33.75" customHeight="1">
      <c r="A100" s="76" t="s">
        <v>410</v>
      </c>
      <c r="B100" s="92" t="s">
        <v>107</v>
      </c>
      <c r="C100" s="84">
        <v>1021</v>
      </c>
      <c r="D100" s="43">
        <f>SUM(D101:D103)</f>
        <v>9</v>
      </c>
      <c r="E100" s="43">
        <f>SUM(E101:E103)</f>
        <v>26</v>
      </c>
      <c r="F100" s="43">
        <f>SUM(F101:F103)</f>
        <v>10.6</v>
      </c>
      <c r="G100" s="175">
        <f t="shared" si="24"/>
        <v>-15.4</v>
      </c>
      <c r="H100" s="175">
        <f t="shared" si="25"/>
        <v>40.769230769230766</v>
      </c>
    </row>
    <row r="101" spans="1:8" ht="40.5" customHeight="1">
      <c r="A101" s="83"/>
      <c r="B101" s="77" t="s">
        <v>166</v>
      </c>
      <c r="C101" s="78"/>
      <c r="D101" s="26">
        <v>1</v>
      </c>
      <c r="E101" s="26">
        <v>26</v>
      </c>
      <c r="F101" s="26">
        <f>0.5+0.4</f>
        <v>0.9</v>
      </c>
      <c r="G101" s="111">
        <f t="shared" si="24"/>
        <v>-25.1</v>
      </c>
      <c r="H101" s="111">
        <f t="shared" si="25"/>
        <v>3.4615384615384617</v>
      </c>
    </row>
    <row r="102" spans="1:8" ht="40.5" customHeight="1">
      <c r="A102" s="83"/>
      <c r="B102" s="77" t="s">
        <v>293</v>
      </c>
      <c r="C102" s="78"/>
      <c r="D102" s="26">
        <v>8</v>
      </c>
      <c r="E102" s="26"/>
      <c r="F102" s="26"/>
      <c r="G102" s="111">
        <f t="shared" si="24"/>
        <v>0</v>
      </c>
      <c r="H102" s="179" t="e">
        <f t="shared" si="25"/>
        <v>#DIV/0!</v>
      </c>
    </row>
    <row r="103" spans="1:8" ht="27" customHeight="1">
      <c r="A103" s="83"/>
      <c r="B103" s="86" t="s">
        <v>167</v>
      </c>
      <c r="C103" s="78"/>
      <c r="D103" s="26"/>
      <c r="E103" s="26"/>
      <c r="F103" s="26">
        <f>4.2+5.5</f>
        <v>9.6999999999999993</v>
      </c>
      <c r="G103" s="111">
        <f t="shared" ref="G103:G108" si="26">F103-E103</f>
        <v>9.6999999999999993</v>
      </c>
      <c r="H103" s="179" t="e">
        <f t="shared" ref="H103:H108" si="27">(F103/E103)*100</f>
        <v>#DIV/0!</v>
      </c>
    </row>
    <row r="104" spans="1:8" ht="27" customHeight="1">
      <c r="A104" s="76" t="s">
        <v>411</v>
      </c>
      <c r="B104" s="92" t="s">
        <v>181</v>
      </c>
      <c r="C104" s="84">
        <v>1025</v>
      </c>
      <c r="D104" s="43">
        <f>SUM(D105:D114)</f>
        <v>25.499999999999996</v>
      </c>
      <c r="E104" s="43">
        <f>SUM(E105:E114)</f>
        <v>6.8</v>
      </c>
      <c r="F104" s="43">
        <f>SUM(F105:F114)</f>
        <v>31.099999999999994</v>
      </c>
      <c r="G104" s="175">
        <f t="shared" si="26"/>
        <v>24.299999999999994</v>
      </c>
      <c r="H104" s="175">
        <f t="shared" si="27"/>
        <v>457.35294117647049</v>
      </c>
    </row>
    <row r="105" spans="1:8" ht="24.75" customHeight="1">
      <c r="A105" s="80"/>
      <c r="B105" s="93" t="s">
        <v>156</v>
      </c>
      <c r="C105" s="78"/>
      <c r="D105" s="26">
        <v>1.9</v>
      </c>
      <c r="E105" s="26">
        <v>6.8</v>
      </c>
      <c r="F105" s="26">
        <f>6+8.9</f>
        <v>14.9</v>
      </c>
      <c r="G105" s="111">
        <f t="shared" si="26"/>
        <v>8.1000000000000014</v>
      </c>
      <c r="H105" s="111">
        <f t="shared" si="27"/>
        <v>219.11764705882354</v>
      </c>
    </row>
    <row r="106" spans="1:8" ht="24.75" customHeight="1">
      <c r="A106" s="80"/>
      <c r="B106" s="93" t="s">
        <v>170</v>
      </c>
      <c r="C106" s="78"/>
      <c r="D106" s="26">
        <v>16.899999999999999</v>
      </c>
      <c r="E106" s="26"/>
      <c r="F106" s="26"/>
      <c r="G106" s="111">
        <f t="shared" si="26"/>
        <v>0</v>
      </c>
      <c r="H106" s="179" t="e">
        <f t="shared" si="27"/>
        <v>#DIV/0!</v>
      </c>
    </row>
    <row r="107" spans="1:8" ht="24.75" customHeight="1">
      <c r="A107" s="80"/>
      <c r="B107" s="81" t="s">
        <v>162</v>
      </c>
      <c r="C107" s="78"/>
      <c r="D107" s="26"/>
      <c r="E107" s="26"/>
      <c r="F107" s="26">
        <f>1+1</f>
        <v>2</v>
      </c>
      <c r="G107" s="111">
        <f t="shared" si="26"/>
        <v>2</v>
      </c>
      <c r="H107" s="179" t="e">
        <f t="shared" si="27"/>
        <v>#DIV/0!</v>
      </c>
    </row>
    <row r="108" spans="1:8" ht="24.75" customHeight="1">
      <c r="A108" s="80"/>
      <c r="B108" s="77" t="s">
        <v>172</v>
      </c>
      <c r="C108" s="78"/>
      <c r="D108" s="26"/>
      <c r="E108" s="26"/>
      <c r="F108" s="26">
        <f>8.7+3.6</f>
        <v>12.299999999999999</v>
      </c>
      <c r="G108" s="111">
        <f t="shared" si="26"/>
        <v>12.299999999999999</v>
      </c>
      <c r="H108" s="179" t="e">
        <f t="shared" si="27"/>
        <v>#DIV/0!</v>
      </c>
    </row>
    <row r="109" spans="1:8" ht="24.75" customHeight="1">
      <c r="A109" s="80"/>
      <c r="B109" s="77" t="s">
        <v>155</v>
      </c>
      <c r="C109" s="78"/>
      <c r="D109" s="26">
        <v>4.0999999999999996</v>
      </c>
      <c r="E109" s="26"/>
      <c r="F109" s="26"/>
      <c r="G109" s="111">
        <f t="shared" ref="G109:G113" si="28">F109-E109</f>
        <v>0</v>
      </c>
      <c r="H109" s="179" t="e">
        <f t="shared" ref="H109:H113" si="29">(F109/E109)*100</f>
        <v>#DIV/0!</v>
      </c>
    </row>
    <row r="110" spans="1:8" ht="24.75" customHeight="1">
      <c r="A110" s="80"/>
      <c r="B110" s="77" t="s">
        <v>175</v>
      </c>
      <c r="C110" s="78"/>
      <c r="D110" s="26">
        <v>1.7</v>
      </c>
      <c r="E110" s="26"/>
      <c r="F110" s="26"/>
      <c r="G110" s="111">
        <f t="shared" si="28"/>
        <v>0</v>
      </c>
      <c r="H110" s="179" t="e">
        <f t="shared" si="29"/>
        <v>#DIV/0!</v>
      </c>
    </row>
    <row r="111" spans="1:8" ht="24.75" customHeight="1">
      <c r="A111" s="80"/>
      <c r="B111" s="77" t="s">
        <v>255</v>
      </c>
      <c r="C111" s="78"/>
      <c r="D111" s="26"/>
      <c r="E111" s="26"/>
      <c r="F111" s="26">
        <v>0.7</v>
      </c>
      <c r="G111" s="111">
        <f t="shared" si="28"/>
        <v>0.7</v>
      </c>
      <c r="H111" s="179" t="e">
        <f t="shared" si="29"/>
        <v>#DIV/0!</v>
      </c>
    </row>
    <row r="112" spans="1:8" ht="24.75" customHeight="1">
      <c r="A112" s="80"/>
      <c r="B112" s="77" t="s">
        <v>263</v>
      </c>
      <c r="C112" s="78"/>
      <c r="D112" s="26">
        <v>0.7</v>
      </c>
      <c r="E112" s="26"/>
      <c r="F112" s="26"/>
      <c r="G112" s="111">
        <f t="shared" si="28"/>
        <v>0</v>
      </c>
      <c r="H112" s="179" t="e">
        <f t="shared" si="29"/>
        <v>#DIV/0!</v>
      </c>
    </row>
    <row r="113" spans="1:8" ht="24.75" customHeight="1">
      <c r="A113" s="80"/>
      <c r="B113" s="77" t="s">
        <v>264</v>
      </c>
      <c r="C113" s="78"/>
      <c r="D113" s="26">
        <v>0.2</v>
      </c>
      <c r="E113" s="26"/>
      <c r="F113" s="26"/>
      <c r="G113" s="111">
        <f t="shared" si="28"/>
        <v>0</v>
      </c>
      <c r="H113" s="179" t="e">
        <f t="shared" si="29"/>
        <v>#DIV/0!</v>
      </c>
    </row>
    <row r="114" spans="1:8" ht="24.75" customHeight="1">
      <c r="A114" s="80"/>
      <c r="B114" s="93" t="s">
        <v>212</v>
      </c>
      <c r="C114" s="78"/>
      <c r="D114" s="26"/>
      <c r="E114" s="26"/>
      <c r="F114" s="26">
        <f>0.6+0.6</f>
        <v>1.2</v>
      </c>
      <c r="G114" s="111">
        <f t="shared" ref="G114:G119" si="30">F114-E114</f>
        <v>1.2</v>
      </c>
      <c r="H114" s="179" t="e">
        <f t="shared" ref="H114:H119" si="31">(F114/E114)*100</f>
        <v>#DIV/0!</v>
      </c>
    </row>
    <row r="115" spans="1:8" ht="24.75" customHeight="1">
      <c r="A115" s="83" t="s">
        <v>412</v>
      </c>
      <c r="B115" s="183" t="s">
        <v>93</v>
      </c>
      <c r="C115" s="174">
        <v>1030</v>
      </c>
      <c r="D115" s="70">
        <f>D116</f>
        <v>59</v>
      </c>
      <c r="E115" s="70">
        <f>E116</f>
        <v>57.2</v>
      </c>
      <c r="F115" s="70">
        <f>F116</f>
        <v>12.4</v>
      </c>
      <c r="G115" s="172">
        <f t="shared" si="30"/>
        <v>-44.800000000000004</v>
      </c>
      <c r="H115" s="172">
        <f t="shared" si="31"/>
        <v>21.678321678321677</v>
      </c>
    </row>
    <row r="116" spans="1:8" ht="24.75" customHeight="1">
      <c r="A116" s="76" t="s">
        <v>413</v>
      </c>
      <c r="B116" s="96" t="s">
        <v>93</v>
      </c>
      <c r="C116" s="103">
        <v>1035</v>
      </c>
      <c r="D116" s="43">
        <f>SUM(D117:D119)</f>
        <v>59</v>
      </c>
      <c r="E116" s="43">
        <f>SUM(E117:E118)</f>
        <v>57.2</v>
      </c>
      <c r="F116" s="43">
        <f>SUM(F117:F118)</f>
        <v>12.4</v>
      </c>
      <c r="G116" s="175">
        <f t="shared" si="30"/>
        <v>-44.800000000000004</v>
      </c>
      <c r="H116" s="175">
        <f t="shared" si="31"/>
        <v>21.678321678321677</v>
      </c>
    </row>
    <row r="117" spans="1:8" ht="24.75" customHeight="1">
      <c r="A117" s="95"/>
      <c r="B117" s="77" t="s">
        <v>182</v>
      </c>
      <c r="C117" s="78"/>
      <c r="D117" s="26">
        <v>50.3</v>
      </c>
      <c r="E117" s="26">
        <v>49.2</v>
      </c>
      <c r="F117" s="26"/>
      <c r="G117" s="111">
        <f t="shared" si="30"/>
        <v>-49.2</v>
      </c>
      <c r="H117" s="111">
        <f t="shared" si="31"/>
        <v>0</v>
      </c>
    </row>
    <row r="118" spans="1:8" ht="24.75" customHeight="1">
      <c r="A118" s="95"/>
      <c r="B118" s="77" t="s">
        <v>174</v>
      </c>
      <c r="C118" s="78"/>
      <c r="D118" s="26">
        <v>7.5</v>
      </c>
      <c r="E118" s="26">
        <v>8</v>
      </c>
      <c r="F118" s="26">
        <v>12.4</v>
      </c>
      <c r="G118" s="111">
        <f t="shared" si="30"/>
        <v>4.4000000000000004</v>
      </c>
      <c r="H118" s="111">
        <f t="shared" si="31"/>
        <v>155</v>
      </c>
    </row>
    <row r="119" spans="1:8" ht="24.75" customHeight="1">
      <c r="A119" s="95"/>
      <c r="B119" s="77" t="s">
        <v>291</v>
      </c>
      <c r="C119" s="78"/>
      <c r="D119" s="26">
        <v>1.2</v>
      </c>
      <c r="E119" s="26"/>
      <c r="F119" s="26"/>
      <c r="G119" s="111">
        <f t="shared" si="30"/>
        <v>0</v>
      </c>
      <c r="H119" s="179" t="e">
        <f t="shared" si="31"/>
        <v>#DIV/0!</v>
      </c>
    </row>
    <row r="120" spans="1:8" ht="24.75" customHeight="1">
      <c r="A120" s="11" t="s">
        <v>250</v>
      </c>
      <c r="B120" s="218" t="s">
        <v>183</v>
      </c>
      <c r="C120" s="199"/>
      <c r="D120" s="24">
        <f>D122+D139</f>
        <v>206.60000000000002</v>
      </c>
      <c r="E120" s="24">
        <f>E122</f>
        <v>300</v>
      </c>
      <c r="F120" s="24">
        <f>F122</f>
        <v>48.900000000000006</v>
      </c>
      <c r="G120" s="110"/>
      <c r="H120" s="110"/>
    </row>
    <row r="121" spans="1:8" ht="24.75" customHeight="1">
      <c r="A121" s="76"/>
      <c r="B121" s="96" t="s">
        <v>86</v>
      </c>
      <c r="C121" s="75"/>
      <c r="D121" s="26"/>
      <c r="E121" s="26"/>
      <c r="F121" s="26"/>
      <c r="G121" s="110"/>
      <c r="H121" s="110"/>
    </row>
    <row r="122" spans="1:8" ht="24.75" customHeight="1">
      <c r="A122" s="83" t="s">
        <v>414</v>
      </c>
      <c r="B122" s="171" t="s">
        <v>90</v>
      </c>
      <c r="C122" s="174">
        <v>1010</v>
      </c>
      <c r="D122" s="70">
        <f>D123+D129+D130+D131</f>
        <v>203.3</v>
      </c>
      <c r="E122" s="70">
        <f>E123+E129+E130+E131</f>
        <v>300</v>
      </c>
      <c r="F122" s="70">
        <f>F123+F129+F130+F131</f>
        <v>48.900000000000006</v>
      </c>
      <c r="G122" s="111">
        <f t="shared" ref="G122:G141" si="32">F122-E122</f>
        <v>-251.1</v>
      </c>
      <c r="H122" s="111">
        <f t="shared" ref="H122:H141" si="33">(F122/E122)*100</f>
        <v>16.3</v>
      </c>
    </row>
    <row r="123" spans="1:8" ht="24.75" customHeight="1">
      <c r="A123" s="98" t="s">
        <v>415</v>
      </c>
      <c r="B123" s="106" t="s">
        <v>107</v>
      </c>
      <c r="C123" s="84">
        <v>1011</v>
      </c>
      <c r="D123" s="43">
        <f>SUM(D124:D128)</f>
        <v>195.5</v>
      </c>
      <c r="E123" s="43">
        <f>SUM(E124:E127)</f>
        <v>90.199999999999989</v>
      </c>
      <c r="F123" s="43">
        <f>SUM(F124:F127)</f>
        <v>6.8000000000000007</v>
      </c>
      <c r="G123" s="111">
        <f t="shared" si="32"/>
        <v>-83.399999999999991</v>
      </c>
      <c r="H123" s="111">
        <f t="shared" si="33"/>
        <v>7.5388026607538823</v>
      </c>
    </row>
    <row r="124" spans="1:8" ht="24.75" customHeight="1">
      <c r="A124" s="99"/>
      <c r="B124" s="77" t="s">
        <v>142</v>
      </c>
      <c r="C124" s="78"/>
      <c r="D124" s="26">
        <v>95.1</v>
      </c>
      <c r="E124" s="26">
        <v>80</v>
      </c>
      <c r="F124" s="26">
        <v>1.9</v>
      </c>
      <c r="G124" s="111">
        <f t="shared" si="32"/>
        <v>-78.099999999999994</v>
      </c>
      <c r="H124" s="111">
        <f t="shared" si="33"/>
        <v>2.375</v>
      </c>
    </row>
    <row r="125" spans="1:8" ht="24.75" customHeight="1">
      <c r="A125" s="99"/>
      <c r="B125" s="77" t="s">
        <v>294</v>
      </c>
      <c r="C125" s="78"/>
      <c r="D125" s="26">
        <v>2.4</v>
      </c>
      <c r="E125" s="26"/>
      <c r="F125" s="26"/>
      <c r="G125" s="111">
        <f t="shared" si="32"/>
        <v>0</v>
      </c>
      <c r="H125" s="179" t="e">
        <f t="shared" si="33"/>
        <v>#DIV/0!</v>
      </c>
    </row>
    <row r="126" spans="1:8" ht="24.75" customHeight="1">
      <c r="A126" s="99"/>
      <c r="B126" s="77" t="s">
        <v>184</v>
      </c>
      <c r="C126" s="78"/>
      <c r="D126" s="26">
        <v>4.5999999999999996</v>
      </c>
      <c r="E126" s="26">
        <v>5.6</v>
      </c>
      <c r="F126" s="26">
        <v>4.5</v>
      </c>
      <c r="G126" s="111">
        <f t="shared" si="32"/>
        <v>-1.0999999999999996</v>
      </c>
      <c r="H126" s="111">
        <f t="shared" si="33"/>
        <v>80.357142857142861</v>
      </c>
    </row>
    <row r="127" spans="1:8" ht="37.5" customHeight="1">
      <c r="A127" s="99"/>
      <c r="B127" s="77" t="s">
        <v>166</v>
      </c>
      <c r="C127" s="78"/>
      <c r="D127" s="26"/>
      <c r="E127" s="26">
        <v>4.5999999999999996</v>
      </c>
      <c r="F127" s="26">
        <v>0.4</v>
      </c>
      <c r="G127" s="111">
        <f t="shared" si="32"/>
        <v>-4.1999999999999993</v>
      </c>
      <c r="H127" s="111">
        <f t="shared" si="33"/>
        <v>8.6956521739130448</v>
      </c>
    </row>
    <row r="128" spans="1:8" ht="37.5" customHeight="1">
      <c r="A128" s="99"/>
      <c r="B128" s="77" t="s">
        <v>293</v>
      </c>
      <c r="C128" s="78"/>
      <c r="D128" s="26">
        <v>93.4</v>
      </c>
      <c r="E128" s="26"/>
      <c r="F128" s="26"/>
      <c r="G128" s="111">
        <f t="shared" si="32"/>
        <v>0</v>
      </c>
      <c r="H128" s="179" t="e">
        <f t="shared" si="33"/>
        <v>#DIV/0!</v>
      </c>
    </row>
    <row r="129" spans="1:8" ht="24.75" customHeight="1">
      <c r="A129" s="76" t="s">
        <v>416</v>
      </c>
      <c r="B129" s="106" t="s">
        <v>2</v>
      </c>
      <c r="C129" s="84">
        <v>1012</v>
      </c>
      <c r="D129" s="43"/>
      <c r="E129" s="43">
        <v>162</v>
      </c>
      <c r="F129" s="43">
        <v>25.5</v>
      </c>
      <c r="G129" s="175">
        <f t="shared" si="32"/>
        <v>-136.5</v>
      </c>
      <c r="H129" s="175">
        <f t="shared" si="33"/>
        <v>15.74074074074074</v>
      </c>
    </row>
    <row r="130" spans="1:8" ht="24.75" customHeight="1">
      <c r="A130" s="76" t="s">
        <v>417</v>
      </c>
      <c r="B130" s="106" t="s">
        <v>3</v>
      </c>
      <c r="C130" s="84">
        <v>1013</v>
      </c>
      <c r="D130" s="43"/>
      <c r="E130" s="43">
        <v>34.799999999999997</v>
      </c>
      <c r="F130" s="43">
        <v>5.2</v>
      </c>
      <c r="G130" s="175">
        <f t="shared" si="32"/>
        <v>-29.599999999999998</v>
      </c>
      <c r="H130" s="175">
        <f t="shared" si="33"/>
        <v>14.942528735632186</v>
      </c>
    </row>
    <row r="131" spans="1:8" ht="24.75" customHeight="1">
      <c r="A131" s="98" t="s">
        <v>418</v>
      </c>
      <c r="B131" s="97" t="s">
        <v>185</v>
      </c>
      <c r="C131" s="107">
        <v>1015</v>
      </c>
      <c r="D131" s="43">
        <f>SUM(D132:D138)</f>
        <v>7.8000000000000007</v>
      </c>
      <c r="E131" s="43">
        <f>SUM(E132:E138)</f>
        <v>13</v>
      </c>
      <c r="F131" s="43">
        <f>SUM(F132:F138)</f>
        <v>11.400000000000002</v>
      </c>
      <c r="G131" s="175">
        <f t="shared" si="32"/>
        <v>-1.5999999999999979</v>
      </c>
      <c r="H131" s="175">
        <f t="shared" si="33"/>
        <v>87.692307692307708</v>
      </c>
    </row>
    <row r="132" spans="1:8" ht="24.75" customHeight="1">
      <c r="A132" s="100"/>
      <c r="B132" s="101" t="s">
        <v>186</v>
      </c>
      <c r="C132" s="88"/>
      <c r="D132" s="26">
        <v>1.5</v>
      </c>
      <c r="E132" s="26">
        <v>6</v>
      </c>
      <c r="F132" s="26"/>
      <c r="G132" s="111">
        <f t="shared" si="32"/>
        <v>-6</v>
      </c>
      <c r="H132" s="111">
        <f t="shared" si="33"/>
        <v>0</v>
      </c>
    </row>
    <row r="133" spans="1:8" ht="24.75" customHeight="1">
      <c r="A133" s="100"/>
      <c r="B133" s="101" t="s">
        <v>262</v>
      </c>
      <c r="C133" s="88"/>
      <c r="D133" s="26">
        <v>5.4</v>
      </c>
      <c r="E133" s="26">
        <v>2.1</v>
      </c>
      <c r="F133" s="26"/>
      <c r="G133" s="111">
        <f t="shared" si="32"/>
        <v>-2.1</v>
      </c>
      <c r="H133" s="111">
        <f t="shared" si="33"/>
        <v>0</v>
      </c>
    </row>
    <row r="134" spans="1:8" ht="24.75" customHeight="1">
      <c r="A134" s="100"/>
      <c r="B134" s="77" t="s">
        <v>156</v>
      </c>
      <c r="C134" s="88"/>
      <c r="D134" s="26">
        <v>0.2</v>
      </c>
      <c r="E134" s="26">
        <v>3.2</v>
      </c>
      <c r="F134" s="26">
        <v>0.2</v>
      </c>
      <c r="G134" s="111">
        <f t="shared" si="32"/>
        <v>-3</v>
      </c>
      <c r="H134" s="111">
        <f t="shared" si="33"/>
        <v>6.25</v>
      </c>
    </row>
    <row r="135" spans="1:8" ht="24.75" customHeight="1">
      <c r="A135" s="100"/>
      <c r="B135" s="77" t="s">
        <v>187</v>
      </c>
      <c r="C135" s="88"/>
      <c r="D135" s="26"/>
      <c r="E135" s="26">
        <v>1.7</v>
      </c>
      <c r="F135" s="26"/>
      <c r="G135" s="111">
        <f t="shared" si="32"/>
        <v>-1.7</v>
      </c>
      <c r="H135" s="111">
        <f t="shared" si="33"/>
        <v>0</v>
      </c>
    </row>
    <row r="136" spans="1:8" ht="24.75" customHeight="1">
      <c r="A136" s="100"/>
      <c r="B136" s="77" t="s">
        <v>176</v>
      </c>
      <c r="C136" s="88"/>
      <c r="D136" s="26"/>
      <c r="E136" s="26"/>
      <c r="F136" s="26">
        <f>11.3-7.5</f>
        <v>3.8000000000000007</v>
      </c>
      <c r="G136" s="111">
        <f t="shared" si="32"/>
        <v>3.8000000000000007</v>
      </c>
      <c r="H136" s="179" t="e">
        <f t="shared" si="33"/>
        <v>#DIV/0!</v>
      </c>
    </row>
    <row r="137" spans="1:8" ht="24.75" customHeight="1">
      <c r="A137" s="100"/>
      <c r="B137" s="77" t="s">
        <v>177</v>
      </c>
      <c r="C137" s="88"/>
      <c r="D137" s="26">
        <v>0.7</v>
      </c>
      <c r="E137" s="26"/>
      <c r="F137" s="26">
        <v>1.2</v>
      </c>
      <c r="G137" s="111">
        <f t="shared" si="32"/>
        <v>1.2</v>
      </c>
      <c r="H137" s="179" t="e">
        <f t="shared" si="33"/>
        <v>#DIV/0!</v>
      </c>
    </row>
    <row r="138" spans="1:8" ht="24.75" customHeight="1">
      <c r="A138" s="100"/>
      <c r="B138" s="77" t="s">
        <v>178</v>
      </c>
      <c r="C138" s="88"/>
      <c r="D138" s="26"/>
      <c r="E138" s="26"/>
      <c r="F138" s="26">
        <v>6.2</v>
      </c>
      <c r="G138" s="111">
        <f t="shared" si="32"/>
        <v>6.2</v>
      </c>
      <c r="H138" s="179" t="e">
        <f t="shared" si="33"/>
        <v>#DIV/0!</v>
      </c>
    </row>
    <row r="139" spans="1:8" ht="24.75" customHeight="1">
      <c r="A139" s="83" t="s">
        <v>419</v>
      </c>
      <c r="B139" s="183" t="s">
        <v>93</v>
      </c>
      <c r="C139" s="174">
        <v>1030</v>
      </c>
      <c r="D139" s="70">
        <f>D140</f>
        <v>3.3</v>
      </c>
      <c r="E139" s="70"/>
      <c r="F139" s="70"/>
      <c r="G139" s="172">
        <f t="shared" si="32"/>
        <v>0</v>
      </c>
      <c r="H139" s="181" t="e">
        <f t="shared" si="33"/>
        <v>#DIV/0!</v>
      </c>
    </row>
    <row r="140" spans="1:8" ht="24.75" customHeight="1">
      <c r="A140" s="76" t="s">
        <v>420</v>
      </c>
      <c r="B140" s="96" t="s">
        <v>93</v>
      </c>
      <c r="C140" s="103">
        <v>1035</v>
      </c>
      <c r="D140" s="43">
        <f>D141</f>
        <v>3.3</v>
      </c>
      <c r="E140" s="43"/>
      <c r="F140" s="43"/>
      <c r="G140" s="175">
        <f t="shared" si="32"/>
        <v>0</v>
      </c>
      <c r="H140" s="180" t="e">
        <f t="shared" si="33"/>
        <v>#DIV/0!</v>
      </c>
    </row>
    <row r="141" spans="1:8" ht="24.75" customHeight="1">
      <c r="A141" s="95"/>
      <c r="B141" s="77" t="s">
        <v>288</v>
      </c>
      <c r="C141" s="78"/>
      <c r="D141" s="26">
        <v>3.3</v>
      </c>
      <c r="E141" s="26"/>
      <c r="F141" s="26"/>
      <c r="G141" s="111">
        <f t="shared" si="32"/>
        <v>0</v>
      </c>
      <c r="H141" s="179" t="e">
        <f t="shared" si="33"/>
        <v>#DIV/0!</v>
      </c>
    </row>
    <row r="142" spans="1:8" ht="46.5" customHeight="1">
      <c r="A142" s="11" t="s">
        <v>393</v>
      </c>
      <c r="B142" s="219" t="s">
        <v>271</v>
      </c>
      <c r="C142" s="199"/>
      <c r="D142" s="24">
        <f>D144+D154+D163</f>
        <v>66.900000000000006</v>
      </c>
      <c r="E142" s="24">
        <f>E144+E154+E163</f>
        <v>255</v>
      </c>
      <c r="F142" s="24">
        <f>F144+F154+F163</f>
        <v>79.300000000000011</v>
      </c>
      <c r="G142" s="110">
        <f t="shared" ref="G142" si="34">F142-E142</f>
        <v>-175.7</v>
      </c>
      <c r="H142" s="220">
        <f t="shared" ref="H142" si="35">(F142/E142)*100</f>
        <v>31.098039215686278</v>
      </c>
    </row>
    <row r="143" spans="1:8" ht="24.75" customHeight="1">
      <c r="A143" s="98"/>
      <c r="B143" s="96" t="s">
        <v>86</v>
      </c>
      <c r="C143" s="75"/>
      <c r="D143" s="26"/>
      <c r="E143" s="26"/>
      <c r="F143" s="26"/>
      <c r="G143" s="110"/>
      <c r="H143" s="110"/>
    </row>
    <row r="144" spans="1:8" ht="24.75" customHeight="1">
      <c r="A144" s="99" t="s">
        <v>421</v>
      </c>
      <c r="B144" s="171" t="s">
        <v>90</v>
      </c>
      <c r="C144" s="174">
        <v>1010</v>
      </c>
      <c r="D144" s="70">
        <f>D145+D148</f>
        <v>22.299999999999997</v>
      </c>
      <c r="E144" s="70">
        <f>E145+E148</f>
        <v>174</v>
      </c>
      <c r="F144" s="70">
        <f>F145+F148</f>
        <v>78.900000000000006</v>
      </c>
      <c r="G144" s="172">
        <f t="shared" ref="G144:G167" si="36">F144-E144</f>
        <v>-95.1</v>
      </c>
      <c r="H144" s="172">
        <f t="shared" ref="H144:H167" si="37">(F144/E144)*100</f>
        <v>45.344827586206897</v>
      </c>
    </row>
    <row r="145" spans="1:8" ht="24.75" customHeight="1">
      <c r="A145" s="76" t="s">
        <v>422</v>
      </c>
      <c r="B145" s="106" t="s">
        <v>107</v>
      </c>
      <c r="C145" s="84">
        <v>1011</v>
      </c>
      <c r="D145" s="43">
        <f>SUM(D146:D147)</f>
        <v>0</v>
      </c>
      <c r="E145" s="43">
        <f>SUM(E146:E147)</f>
        <v>114</v>
      </c>
      <c r="F145" s="43">
        <f>SUM(F146:F147)</f>
        <v>60.2</v>
      </c>
      <c r="G145" s="175">
        <f t="shared" si="36"/>
        <v>-53.8</v>
      </c>
      <c r="H145" s="175">
        <f t="shared" si="37"/>
        <v>52.807017543859644</v>
      </c>
    </row>
    <row r="146" spans="1:8" ht="24.75" customHeight="1">
      <c r="A146" s="83"/>
      <c r="B146" s="77" t="s">
        <v>167</v>
      </c>
      <c r="C146" s="78"/>
      <c r="D146" s="26"/>
      <c r="E146" s="26">
        <v>10</v>
      </c>
      <c r="F146" s="26">
        <f>2.1+5</f>
        <v>7.1</v>
      </c>
      <c r="G146" s="111">
        <f t="shared" si="36"/>
        <v>-2.9000000000000004</v>
      </c>
      <c r="H146" s="111">
        <f t="shared" si="37"/>
        <v>71</v>
      </c>
    </row>
    <row r="147" spans="1:8" ht="36" customHeight="1">
      <c r="A147" s="83"/>
      <c r="B147" s="77" t="s">
        <v>166</v>
      </c>
      <c r="C147" s="78"/>
      <c r="D147" s="26"/>
      <c r="E147" s="26">
        <v>104</v>
      </c>
      <c r="F147" s="26">
        <f>13.1+40</f>
        <v>53.1</v>
      </c>
      <c r="G147" s="111">
        <f t="shared" si="36"/>
        <v>-50.9</v>
      </c>
      <c r="H147" s="111">
        <f t="shared" si="37"/>
        <v>51.057692307692307</v>
      </c>
    </row>
    <row r="148" spans="1:8" ht="24.75" customHeight="1">
      <c r="A148" s="76" t="s">
        <v>423</v>
      </c>
      <c r="B148" s="96" t="s">
        <v>188</v>
      </c>
      <c r="C148" s="103">
        <v>1015</v>
      </c>
      <c r="D148" s="43">
        <f>D149+D150+D151+D152+D153</f>
        <v>22.299999999999997</v>
      </c>
      <c r="E148" s="43">
        <f>SUM(E149:E149)</f>
        <v>60</v>
      </c>
      <c r="F148" s="43">
        <f>SUM(F149:F151)</f>
        <v>18.7</v>
      </c>
      <c r="G148" s="175">
        <f t="shared" si="36"/>
        <v>-41.3</v>
      </c>
      <c r="H148" s="175">
        <f t="shared" si="37"/>
        <v>31.166666666666664</v>
      </c>
    </row>
    <row r="149" spans="1:8" ht="24.75" customHeight="1">
      <c r="A149" s="74"/>
      <c r="B149" s="77" t="s">
        <v>171</v>
      </c>
      <c r="C149" s="78"/>
      <c r="D149" s="26"/>
      <c r="E149" s="26">
        <v>60</v>
      </c>
      <c r="F149" s="26">
        <v>6</v>
      </c>
      <c r="G149" s="111">
        <f t="shared" si="36"/>
        <v>-54</v>
      </c>
      <c r="H149" s="111">
        <f t="shared" si="37"/>
        <v>10</v>
      </c>
    </row>
    <row r="150" spans="1:8" ht="24.75" customHeight="1">
      <c r="A150" s="74"/>
      <c r="B150" s="77" t="s">
        <v>176</v>
      </c>
      <c r="C150" s="78"/>
      <c r="D150" s="26"/>
      <c r="E150" s="26"/>
      <c r="F150" s="26">
        <v>7.5</v>
      </c>
      <c r="G150" s="111">
        <f t="shared" si="36"/>
        <v>7.5</v>
      </c>
      <c r="H150" s="179" t="e">
        <f t="shared" si="37"/>
        <v>#DIV/0!</v>
      </c>
    </row>
    <row r="151" spans="1:8" ht="24.75" customHeight="1">
      <c r="A151" s="74"/>
      <c r="B151" s="77" t="s">
        <v>178</v>
      </c>
      <c r="C151" s="78"/>
      <c r="D151" s="26"/>
      <c r="E151" s="26"/>
      <c r="F151" s="26">
        <v>5.2</v>
      </c>
      <c r="G151" s="111">
        <f t="shared" si="36"/>
        <v>5.2</v>
      </c>
      <c r="H151" s="179" t="e">
        <f t="shared" si="37"/>
        <v>#DIV/0!</v>
      </c>
    </row>
    <row r="152" spans="1:8" ht="24.75" customHeight="1">
      <c r="A152" s="74"/>
      <c r="B152" s="77" t="s">
        <v>283</v>
      </c>
      <c r="C152" s="78"/>
      <c r="D152" s="26">
        <v>5.6</v>
      </c>
      <c r="E152" s="26"/>
      <c r="F152" s="26"/>
      <c r="G152" s="111">
        <f t="shared" si="36"/>
        <v>0</v>
      </c>
      <c r="H152" s="179" t="e">
        <f t="shared" si="37"/>
        <v>#DIV/0!</v>
      </c>
    </row>
    <row r="153" spans="1:8" ht="24.75" customHeight="1">
      <c r="A153" s="74"/>
      <c r="B153" s="77" t="s">
        <v>295</v>
      </c>
      <c r="C153" s="78"/>
      <c r="D153" s="26">
        <v>16.7</v>
      </c>
      <c r="E153" s="26"/>
      <c r="F153" s="26"/>
      <c r="G153" s="111">
        <f t="shared" si="36"/>
        <v>0</v>
      </c>
      <c r="H153" s="179" t="e">
        <f t="shared" si="37"/>
        <v>#DIV/0!</v>
      </c>
    </row>
    <row r="154" spans="1:8" ht="24.75" customHeight="1">
      <c r="A154" s="99" t="s">
        <v>424</v>
      </c>
      <c r="B154" s="118" t="s">
        <v>92</v>
      </c>
      <c r="C154" s="174">
        <v>1020</v>
      </c>
      <c r="D154" s="70">
        <f>D155</f>
        <v>42.7</v>
      </c>
      <c r="E154" s="70">
        <f>E155</f>
        <v>39</v>
      </c>
      <c r="F154" s="70"/>
      <c r="G154" s="172">
        <f t="shared" si="36"/>
        <v>-39</v>
      </c>
      <c r="H154" s="172">
        <f t="shared" si="37"/>
        <v>0</v>
      </c>
    </row>
    <row r="155" spans="1:8" ht="24.75" customHeight="1">
      <c r="A155" s="76" t="s">
        <v>425</v>
      </c>
      <c r="B155" s="92" t="s">
        <v>181</v>
      </c>
      <c r="C155" s="84">
        <v>1025</v>
      </c>
      <c r="D155" s="43">
        <f>SUM(D156:D162)</f>
        <v>42.7</v>
      </c>
      <c r="E155" s="43">
        <f>SUM(E156:E162)</f>
        <v>39</v>
      </c>
      <c r="F155" s="43"/>
      <c r="G155" s="175">
        <f t="shared" si="36"/>
        <v>-39</v>
      </c>
      <c r="H155" s="175">
        <f t="shared" si="37"/>
        <v>0</v>
      </c>
    </row>
    <row r="156" spans="1:8" ht="24.75" customHeight="1">
      <c r="A156" s="74"/>
      <c r="B156" s="86" t="s">
        <v>170</v>
      </c>
      <c r="C156" s="78"/>
      <c r="D156" s="26"/>
      <c r="E156" s="26">
        <v>14</v>
      </c>
      <c r="F156" s="26"/>
      <c r="G156" s="111">
        <f t="shared" si="36"/>
        <v>-14</v>
      </c>
      <c r="H156" s="111">
        <f t="shared" si="37"/>
        <v>0</v>
      </c>
    </row>
    <row r="157" spans="1:8" ht="39.75" customHeight="1">
      <c r="A157" s="74"/>
      <c r="B157" s="86" t="s">
        <v>296</v>
      </c>
      <c r="C157" s="78"/>
      <c r="D157" s="26">
        <v>12.4</v>
      </c>
      <c r="E157" s="26"/>
      <c r="F157" s="26"/>
      <c r="G157" s="111">
        <f t="shared" si="36"/>
        <v>0</v>
      </c>
      <c r="H157" s="179" t="e">
        <f t="shared" si="37"/>
        <v>#DIV/0!</v>
      </c>
    </row>
    <row r="158" spans="1:8" ht="28.5" customHeight="1">
      <c r="A158" s="74"/>
      <c r="B158" s="86" t="s">
        <v>162</v>
      </c>
      <c r="C158" s="78"/>
      <c r="D158" s="26">
        <v>0.3</v>
      </c>
      <c r="E158" s="26"/>
      <c r="F158" s="26"/>
      <c r="G158" s="111">
        <f t="shared" si="36"/>
        <v>0</v>
      </c>
      <c r="H158" s="179" t="e">
        <f t="shared" si="37"/>
        <v>#DIV/0!</v>
      </c>
    </row>
    <row r="159" spans="1:8" ht="28.5" customHeight="1">
      <c r="A159" s="74"/>
      <c r="B159" s="86" t="s">
        <v>255</v>
      </c>
      <c r="C159" s="78"/>
      <c r="D159" s="26">
        <v>1.4</v>
      </c>
      <c r="E159" s="26"/>
      <c r="F159" s="26"/>
      <c r="G159" s="111">
        <f t="shared" si="36"/>
        <v>0</v>
      </c>
      <c r="H159" s="179" t="e">
        <f t="shared" si="37"/>
        <v>#DIV/0!</v>
      </c>
    </row>
    <row r="160" spans="1:8" ht="27.75" customHeight="1">
      <c r="A160" s="74"/>
      <c r="B160" s="86" t="s">
        <v>298</v>
      </c>
      <c r="C160" s="78"/>
      <c r="D160" s="26">
        <v>3.6</v>
      </c>
      <c r="E160" s="26"/>
      <c r="F160" s="26"/>
      <c r="G160" s="111">
        <f t="shared" si="36"/>
        <v>0</v>
      </c>
      <c r="H160" s="179" t="e">
        <f t="shared" si="37"/>
        <v>#DIV/0!</v>
      </c>
    </row>
    <row r="161" spans="1:8" ht="27.75" customHeight="1">
      <c r="A161" s="74"/>
      <c r="B161" s="86" t="s">
        <v>212</v>
      </c>
      <c r="C161" s="78"/>
      <c r="D161" s="26">
        <v>1.1000000000000001</v>
      </c>
      <c r="E161" s="26"/>
      <c r="F161" s="26"/>
      <c r="G161" s="111">
        <f t="shared" si="36"/>
        <v>0</v>
      </c>
      <c r="H161" s="179" t="e">
        <f t="shared" si="37"/>
        <v>#DIV/0!</v>
      </c>
    </row>
    <row r="162" spans="1:8" ht="24.75" customHeight="1">
      <c r="A162" s="80"/>
      <c r="B162" s="77" t="s">
        <v>297</v>
      </c>
      <c r="C162" s="78"/>
      <c r="D162" s="26">
        <v>23.9</v>
      </c>
      <c r="E162" s="26">
        <v>25</v>
      </c>
      <c r="F162" s="26"/>
      <c r="G162" s="111">
        <f t="shared" si="36"/>
        <v>-25</v>
      </c>
      <c r="H162" s="111">
        <f t="shared" si="37"/>
        <v>0</v>
      </c>
    </row>
    <row r="163" spans="1:8" ht="24.75" customHeight="1">
      <c r="A163" s="99" t="s">
        <v>426</v>
      </c>
      <c r="B163" s="118" t="s">
        <v>93</v>
      </c>
      <c r="C163" s="176">
        <v>1030</v>
      </c>
      <c r="D163" s="24">
        <f>D164</f>
        <v>1.9000000000000001</v>
      </c>
      <c r="E163" s="24">
        <f>E164</f>
        <v>42</v>
      </c>
      <c r="F163" s="24">
        <f>F164</f>
        <v>0.4</v>
      </c>
      <c r="G163" s="110">
        <f t="shared" si="36"/>
        <v>-41.6</v>
      </c>
      <c r="H163" s="110">
        <f t="shared" si="37"/>
        <v>0.95238095238095244</v>
      </c>
    </row>
    <row r="164" spans="1:8" ht="24.75" customHeight="1">
      <c r="A164" s="76" t="s">
        <v>427</v>
      </c>
      <c r="B164" s="96" t="s">
        <v>189</v>
      </c>
      <c r="C164" s="184">
        <v>1035</v>
      </c>
      <c r="D164" s="43">
        <f>D167+D166+D165</f>
        <v>1.9000000000000001</v>
      </c>
      <c r="E164" s="43">
        <f>E167</f>
        <v>42</v>
      </c>
      <c r="F164" s="43">
        <f>F165+F166+F167</f>
        <v>0.4</v>
      </c>
      <c r="G164" s="175">
        <f t="shared" si="36"/>
        <v>-41.6</v>
      </c>
      <c r="H164" s="175">
        <f t="shared" si="37"/>
        <v>0.95238095238095244</v>
      </c>
    </row>
    <row r="165" spans="1:8" ht="24.75" customHeight="1">
      <c r="A165" s="74"/>
      <c r="B165" s="102" t="s">
        <v>289</v>
      </c>
      <c r="C165" s="104"/>
      <c r="D165" s="26">
        <v>1.6</v>
      </c>
      <c r="E165" s="26"/>
      <c r="F165" s="26"/>
      <c r="G165" s="111">
        <f t="shared" si="36"/>
        <v>0</v>
      </c>
      <c r="H165" s="179" t="e">
        <f t="shared" si="37"/>
        <v>#DIV/0!</v>
      </c>
    </row>
    <row r="166" spans="1:8" ht="24.75" customHeight="1">
      <c r="A166" s="74"/>
      <c r="B166" s="102" t="s">
        <v>290</v>
      </c>
      <c r="C166" s="104"/>
      <c r="D166" s="26">
        <v>0.3</v>
      </c>
      <c r="E166" s="26"/>
      <c r="F166" s="26">
        <v>0.4</v>
      </c>
      <c r="G166" s="111">
        <f t="shared" si="36"/>
        <v>0.4</v>
      </c>
      <c r="H166" s="179" t="e">
        <f t="shared" si="37"/>
        <v>#DIV/0!</v>
      </c>
    </row>
    <row r="167" spans="1:8" ht="24.75" customHeight="1">
      <c r="A167" s="74"/>
      <c r="B167" s="102" t="s">
        <v>190</v>
      </c>
      <c r="C167" s="105"/>
      <c r="D167" s="26"/>
      <c r="E167" s="26">
        <v>42</v>
      </c>
      <c r="F167" s="26"/>
      <c r="G167" s="111">
        <f t="shared" si="36"/>
        <v>-42</v>
      </c>
      <c r="H167" s="111">
        <f t="shared" si="37"/>
        <v>0</v>
      </c>
    </row>
    <row r="168" spans="1:8" ht="36" customHeight="1">
      <c r="A168" s="95" t="s">
        <v>191</v>
      </c>
      <c r="B168" s="193" t="s">
        <v>251</v>
      </c>
      <c r="C168" s="87"/>
      <c r="D168" s="24">
        <f>D170</f>
        <v>131.5</v>
      </c>
      <c r="E168" s="24">
        <f>E170</f>
        <v>0</v>
      </c>
      <c r="F168" s="24">
        <f>F170</f>
        <v>0</v>
      </c>
      <c r="G168" s="110">
        <f t="shared" ref="G168" si="38">F168-E168</f>
        <v>0</v>
      </c>
      <c r="H168" s="178" t="e">
        <f t="shared" ref="H168" si="39">(F168/E168)*100</f>
        <v>#DIV/0!</v>
      </c>
    </row>
    <row r="169" spans="1:8" ht="24.75" customHeight="1">
      <c r="A169" s="98"/>
      <c r="B169" s="96" t="s">
        <v>86</v>
      </c>
      <c r="C169" s="88"/>
      <c r="D169" s="26"/>
      <c r="E169" s="26"/>
      <c r="F169" s="26"/>
      <c r="G169" s="110"/>
      <c r="H169" s="110"/>
    </row>
    <row r="170" spans="1:8" ht="24.75" customHeight="1">
      <c r="A170" s="99" t="s">
        <v>193</v>
      </c>
      <c r="B170" s="118" t="s">
        <v>90</v>
      </c>
      <c r="C170" s="119">
        <v>1010</v>
      </c>
      <c r="D170" s="70">
        <f>D171</f>
        <v>131.5</v>
      </c>
      <c r="E170" s="70">
        <f>E171</f>
        <v>0</v>
      </c>
      <c r="F170" s="70">
        <f>F171</f>
        <v>0</v>
      </c>
      <c r="G170" s="172">
        <f t="shared" ref="G170:G175" si="40">F170-E170</f>
        <v>0</v>
      </c>
      <c r="H170" s="181" t="e">
        <f t="shared" ref="H170:H175" si="41">(F170/E170)*100</f>
        <v>#DIV/0!</v>
      </c>
    </row>
    <row r="171" spans="1:8" ht="24.75" customHeight="1">
      <c r="A171" s="98" t="s">
        <v>428</v>
      </c>
      <c r="B171" s="121" t="s">
        <v>80</v>
      </c>
      <c r="C171" s="107">
        <v>1011</v>
      </c>
      <c r="D171" s="43">
        <f>SUM(D172:D175)</f>
        <v>131.5</v>
      </c>
      <c r="E171" s="43">
        <f>E172+E174</f>
        <v>0</v>
      </c>
      <c r="F171" s="43">
        <v>0</v>
      </c>
      <c r="G171" s="175">
        <f t="shared" si="40"/>
        <v>0</v>
      </c>
      <c r="H171" s="180" t="e">
        <f t="shared" si="41"/>
        <v>#DIV/0!</v>
      </c>
    </row>
    <row r="172" spans="1:8" ht="24.75" customHeight="1">
      <c r="A172" s="98"/>
      <c r="B172" s="102" t="s">
        <v>140</v>
      </c>
      <c r="C172" s="107"/>
      <c r="D172" s="26">
        <v>87.1</v>
      </c>
      <c r="E172" s="26"/>
      <c r="F172" s="26">
        <v>0</v>
      </c>
      <c r="G172" s="111">
        <f t="shared" si="40"/>
        <v>0</v>
      </c>
      <c r="H172" s="178" t="e">
        <f t="shared" si="41"/>
        <v>#DIV/0!</v>
      </c>
    </row>
    <row r="173" spans="1:8" ht="36.75" customHeight="1">
      <c r="A173" s="98"/>
      <c r="B173" s="77" t="s">
        <v>166</v>
      </c>
      <c r="C173" s="107"/>
      <c r="D173" s="26">
        <v>10.9</v>
      </c>
      <c r="E173" s="26"/>
      <c r="F173" s="26">
        <v>0</v>
      </c>
      <c r="G173" s="111">
        <f t="shared" si="40"/>
        <v>0</v>
      </c>
      <c r="H173" s="178" t="e">
        <f t="shared" si="41"/>
        <v>#DIV/0!</v>
      </c>
    </row>
    <row r="174" spans="1:8" ht="24.75" customHeight="1">
      <c r="A174" s="98"/>
      <c r="B174" s="77" t="s">
        <v>184</v>
      </c>
      <c r="C174" s="120"/>
      <c r="D174" s="26">
        <v>13</v>
      </c>
      <c r="E174" s="26"/>
      <c r="F174" s="26">
        <v>0</v>
      </c>
      <c r="G174" s="111">
        <f t="shared" si="40"/>
        <v>0</v>
      </c>
      <c r="H174" s="178" t="e">
        <f t="shared" si="41"/>
        <v>#DIV/0!</v>
      </c>
    </row>
    <row r="175" spans="1:8" ht="24.75" customHeight="1">
      <c r="A175" s="98"/>
      <c r="B175" s="77" t="s">
        <v>141</v>
      </c>
      <c r="C175" s="120"/>
      <c r="D175" s="26">
        <v>20.5</v>
      </c>
      <c r="E175" s="26"/>
      <c r="F175" s="26"/>
      <c r="G175" s="111">
        <f t="shared" si="40"/>
        <v>0</v>
      </c>
      <c r="H175" s="178" t="e">
        <f t="shared" si="41"/>
        <v>#DIV/0!</v>
      </c>
    </row>
    <row r="176" spans="1:8" ht="40.5" customHeight="1">
      <c r="A176" s="221" t="s">
        <v>194</v>
      </c>
      <c r="B176" s="219" t="s">
        <v>192</v>
      </c>
      <c r="C176" s="222"/>
      <c r="D176" s="24">
        <f>D178</f>
        <v>29.799999999999997</v>
      </c>
      <c r="E176" s="24">
        <f>E178</f>
        <v>69.599999999999994</v>
      </c>
      <c r="F176" s="24"/>
      <c r="G176" s="110">
        <f t="shared" ref="G176" si="42">F176-E176</f>
        <v>-69.599999999999994</v>
      </c>
      <c r="H176" s="110">
        <f t="shared" ref="H176" si="43">(F176/E176)*100</f>
        <v>0</v>
      </c>
    </row>
    <row r="177" spans="1:10" ht="24.75" customHeight="1">
      <c r="A177" s="74"/>
      <c r="B177" s="96" t="s">
        <v>86</v>
      </c>
      <c r="C177" s="79"/>
      <c r="D177" s="26"/>
      <c r="E177" s="26"/>
      <c r="F177" s="26"/>
      <c r="G177" s="110"/>
      <c r="H177" s="110"/>
    </row>
    <row r="178" spans="1:10" ht="24.75" customHeight="1">
      <c r="A178" s="83" t="s">
        <v>195</v>
      </c>
      <c r="B178" s="183" t="s">
        <v>90</v>
      </c>
      <c r="C178" s="176">
        <v>1010</v>
      </c>
      <c r="D178" s="185">
        <f>D179+D180</f>
        <v>29.799999999999997</v>
      </c>
      <c r="E178" s="185">
        <f>E179+E180</f>
        <v>69.599999999999994</v>
      </c>
      <c r="F178" s="70"/>
      <c r="G178" s="172">
        <f t="shared" ref="G178:G180" si="44">F178-E178</f>
        <v>-69.599999999999994</v>
      </c>
      <c r="H178" s="172">
        <f t="shared" ref="H178:H180" si="45">(F178/E178)*100</f>
        <v>0</v>
      </c>
    </row>
    <row r="179" spans="1:10" ht="29.25" customHeight="1">
      <c r="A179" s="76" t="s">
        <v>202</v>
      </c>
      <c r="B179" s="85" t="s">
        <v>2</v>
      </c>
      <c r="C179" s="103">
        <v>1012</v>
      </c>
      <c r="D179" s="43">
        <v>24.4</v>
      </c>
      <c r="E179" s="160">
        <v>57.1</v>
      </c>
      <c r="F179" s="43"/>
      <c r="G179" s="175">
        <f t="shared" si="44"/>
        <v>-57.1</v>
      </c>
      <c r="H179" s="175">
        <f t="shared" si="45"/>
        <v>0</v>
      </c>
    </row>
    <row r="180" spans="1:10" ht="29.25" customHeight="1">
      <c r="A180" s="76" t="s">
        <v>203</v>
      </c>
      <c r="B180" s="85" t="s">
        <v>3</v>
      </c>
      <c r="C180" s="103">
        <v>1013</v>
      </c>
      <c r="D180" s="43">
        <v>5.4</v>
      </c>
      <c r="E180" s="160">
        <v>12.5</v>
      </c>
      <c r="F180" s="43"/>
      <c r="G180" s="175">
        <f t="shared" si="44"/>
        <v>-12.5</v>
      </c>
      <c r="H180" s="175">
        <f t="shared" si="45"/>
        <v>0</v>
      </c>
    </row>
    <row r="181" spans="1:10" ht="31.5" customHeight="1">
      <c r="A181" s="221" t="s">
        <v>206</v>
      </c>
      <c r="B181" s="219" t="s">
        <v>254</v>
      </c>
      <c r="C181" s="223"/>
      <c r="D181" s="24">
        <f>D183+D199</f>
        <v>8314.2999999999993</v>
      </c>
      <c r="E181" s="24">
        <f>E183+E199</f>
        <v>5899.2</v>
      </c>
      <c r="F181" s="24">
        <f>F183+F199</f>
        <v>6834</v>
      </c>
      <c r="G181" s="110">
        <f t="shared" ref="G181:G204" si="46">F181-E181</f>
        <v>934.80000000000018</v>
      </c>
      <c r="H181" s="110">
        <f t="shared" ref="H181:H204" si="47">(F181/E181)*100</f>
        <v>115.84621643612694</v>
      </c>
    </row>
    <row r="182" spans="1:10" ht="24.75" customHeight="1">
      <c r="A182" s="74"/>
      <c r="B182" s="94" t="s">
        <v>86</v>
      </c>
      <c r="C182" s="78"/>
      <c r="D182" s="26"/>
      <c r="E182" s="26"/>
      <c r="F182" s="26"/>
      <c r="G182" s="175"/>
      <c r="H182" s="175"/>
    </row>
    <row r="183" spans="1:10" ht="29.25" customHeight="1">
      <c r="A183" s="83" t="s">
        <v>429</v>
      </c>
      <c r="B183" s="173" t="s">
        <v>90</v>
      </c>
      <c r="C183" s="174">
        <v>1010</v>
      </c>
      <c r="D183" s="70">
        <f>D184+D192+D193+D194</f>
        <v>8314.2999999999993</v>
      </c>
      <c r="E183" s="70">
        <f>E184+E192+E193+E194</f>
        <v>5813.4</v>
      </c>
      <c r="F183" s="70">
        <f>F184+F192+F193+F194</f>
        <v>6772.5</v>
      </c>
      <c r="G183" s="172">
        <f t="shared" si="46"/>
        <v>959.10000000000036</v>
      </c>
      <c r="H183" s="172">
        <f t="shared" si="47"/>
        <v>116.49809061822687</v>
      </c>
    </row>
    <row r="184" spans="1:10" ht="27.75" customHeight="1">
      <c r="A184" s="76" t="s">
        <v>430</v>
      </c>
      <c r="B184" s="92" t="s">
        <v>107</v>
      </c>
      <c r="C184" s="84">
        <v>1011</v>
      </c>
      <c r="D184" s="43">
        <f>SUM(D186:D191)</f>
        <v>3234.4</v>
      </c>
      <c r="E184" s="43">
        <f>SUM(E186:E191)</f>
        <v>2000</v>
      </c>
      <c r="F184" s="43">
        <f>SUM(F185:F191)</f>
        <v>2296.2000000000003</v>
      </c>
      <c r="G184" s="175">
        <f t="shared" si="46"/>
        <v>296.20000000000027</v>
      </c>
      <c r="H184" s="175">
        <f t="shared" si="47"/>
        <v>114.81000000000002</v>
      </c>
    </row>
    <row r="185" spans="1:10" ht="24.75" customHeight="1">
      <c r="A185" s="74"/>
      <c r="B185" s="86" t="s">
        <v>184</v>
      </c>
      <c r="C185" s="75"/>
      <c r="D185" s="26"/>
      <c r="E185" s="26"/>
      <c r="F185" s="26">
        <v>3.2</v>
      </c>
      <c r="G185" s="111">
        <f t="shared" si="46"/>
        <v>3.2</v>
      </c>
      <c r="H185" s="179" t="e">
        <f t="shared" si="47"/>
        <v>#DIV/0!</v>
      </c>
      <c r="J185" s="33">
        <v>2790.3</v>
      </c>
    </row>
    <row r="186" spans="1:10" ht="36" customHeight="1">
      <c r="A186" s="80"/>
      <c r="B186" s="77" t="s">
        <v>196</v>
      </c>
      <c r="C186" s="78"/>
      <c r="D186" s="26">
        <v>123.7</v>
      </c>
      <c r="E186" s="26"/>
      <c r="F186" s="26">
        <v>2</v>
      </c>
      <c r="G186" s="111">
        <f t="shared" si="46"/>
        <v>2</v>
      </c>
      <c r="H186" s="179" t="e">
        <f t="shared" si="47"/>
        <v>#DIV/0!</v>
      </c>
    </row>
    <row r="187" spans="1:10" ht="24.75" customHeight="1">
      <c r="A187" s="80"/>
      <c r="B187" s="77" t="s">
        <v>197</v>
      </c>
      <c r="C187" s="78"/>
      <c r="D187" s="26">
        <v>1548.3</v>
      </c>
      <c r="E187" s="26">
        <v>2000</v>
      </c>
      <c r="F187" s="26">
        <v>1640.7</v>
      </c>
      <c r="G187" s="111">
        <f t="shared" si="46"/>
        <v>-359.29999999999995</v>
      </c>
      <c r="H187" s="179">
        <f t="shared" si="47"/>
        <v>82.034999999999997</v>
      </c>
      <c r="I187" s="130"/>
    </row>
    <row r="188" spans="1:10" ht="24.75" customHeight="1">
      <c r="A188" s="80"/>
      <c r="B188" s="77" t="s">
        <v>198</v>
      </c>
      <c r="C188" s="78"/>
      <c r="D188" s="26">
        <v>1562.4</v>
      </c>
      <c r="E188" s="26"/>
      <c r="F188" s="26">
        <v>333.9</v>
      </c>
      <c r="G188" s="111">
        <f t="shared" si="46"/>
        <v>333.9</v>
      </c>
      <c r="H188" s="179" t="e">
        <f t="shared" si="47"/>
        <v>#DIV/0!</v>
      </c>
    </row>
    <row r="189" spans="1:10" ht="24.75" customHeight="1">
      <c r="A189" s="80"/>
      <c r="B189" s="77" t="s">
        <v>371</v>
      </c>
      <c r="C189" s="78"/>
      <c r="D189" s="26"/>
      <c r="E189" s="26"/>
      <c r="F189" s="26">
        <v>146.4</v>
      </c>
      <c r="G189" s="111">
        <f t="shared" si="46"/>
        <v>146.4</v>
      </c>
      <c r="H189" s="179" t="e">
        <f t="shared" si="47"/>
        <v>#DIV/0!</v>
      </c>
    </row>
    <row r="190" spans="1:10" ht="24.75" customHeight="1">
      <c r="A190" s="80"/>
      <c r="B190" s="77" t="s">
        <v>200</v>
      </c>
      <c r="C190" s="78"/>
      <c r="D190" s="26"/>
      <c r="E190" s="26"/>
      <c r="F190" s="26">
        <v>165.4</v>
      </c>
      <c r="G190" s="111">
        <f t="shared" si="46"/>
        <v>165.4</v>
      </c>
      <c r="H190" s="179" t="e">
        <f t="shared" si="47"/>
        <v>#DIV/0!</v>
      </c>
    </row>
    <row r="191" spans="1:10" ht="24.75" customHeight="1">
      <c r="A191" s="80"/>
      <c r="B191" s="77" t="s">
        <v>201</v>
      </c>
      <c r="C191" s="78"/>
      <c r="D191" s="26"/>
      <c r="E191" s="26"/>
      <c r="F191" s="26">
        <v>4.5999999999999996</v>
      </c>
      <c r="G191" s="111">
        <f t="shared" si="46"/>
        <v>4.5999999999999996</v>
      </c>
      <c r="H191" s="179" t="e">
        <f t="shared" si="47"/>
        <v>#DIV/0!</v>
      </c>
    </row>
    <row r="192" spans="1:10" ht="24.75" customHeight="1">
      <c r="A192" s="76" t="s">
        <v>431</v>
      </c>
      <c r="B192" s="106" t="s">
        <v>2</v>
      </c>
      <c r="C192" s="103">
        <v>1012</v>
      </c>
      <c r="D192" s="43">
        <v>1989.3</v>
      </c>
      <c r="E192" s="43"/>
      <c r="F192" s="43"/>
      <c r="G192" s="111">
        <f t="shared" si="46"/>
        <v>0</v>
      </c>
      <c r="H192" s="179" t="e">
        <f t="shared" si="47"/>
        <v>#DIV/0!</v>
      </c>
    </row>
    <row r="193" spans="1:8" ht="24.75" customHeight="1">
      <c r="A193" s="76" t="s">
        <v>432</v>
      </c>
      <c r="B193" s="106" t="s">
        <v>3</v>
      </c>
      <c r="C193" s="103">
        <v>1013</v>
      </c>
      <c r="D193" s="43">
        <v>412.1</v>
      </c>
      <c r="E193" s="43"/>
      <c r="F193" s="43"/>
      <c r="G193" s="111">
        <f t="shared" si="46"/>
        <v>0</v>
      </c>
      <c r="H193" s="179" t="e">
        <f t="shared" si="47"/>
        <v>#DIV/0!</v>
      </c>
    </row>
    <row r="194" spans="1:8" ht="24.75" customHeight="1">
      <c r="A194" s="76" t="s">
        <v>432</v>
      </c>
      <c r="B194" s="121" t="s">
        <v>98</v>
      </c>
      <c r="C194" s="107">
        <v>1015</v>
      </c>
      <c r="D194" s="43">
        <f>SUM(D195:D198)</f>
        <v>2678.5</v>
      </c>
      <c r="E194" s="43">
        <f>SUM(E195:E198)</f>
        <v>3813.4</v>
      </c>
      <c r="F194" s="43">
        <f>SUM(F195:F198)</f>
        <v>4476.2999999999993</v>
      </c>
      <c r="G194" s="175">
        <f t="shared" si="46"/>
        <v>662.89999999999918</v>
      </c>
      <c r="H194" s="175">
        <f t="shared" si="47"/>
        <v>117.38343735249381</v>
      </c>
    </row>
    <row r="195" spans="1:8" ht="24.75" customHeight="1">
      <c r="A195" s="74"/>
      <c r="B195" s="81" t="s">
        <v>176</v>
      </c>
      <c r="C195" s="81"/>
      <c r="D195" s="26">
        <v>1583.7</v>
      </c>
      <c r="E195" s="26">
        <v>2482.6</v>
      </c>
      <c r="F195" s="26">
        <f>1988.2+590.7</f>
        <v>2578.9</v>
      </c>
      <c r="G195" s="111">
        <f t="shared" si="46"/>
        <v>96.300000000000182</v>
      </c>
      <c r="H195" s="111">
        <f t="shared" si="47"/>
        <v>103.87899782486103</v>
      </c>
    </row>
    <row r="196" spans="1:8" ht="24.75" customHeight="1">
      <c r="A196" s="74"/>
      <c r="B196" s="81" t="s">
        <v>177</v>
      </c>
      <c r="C196" s="81"/>
      <c r="D196" s="26">
        <v>229.6</v>
      </c>
      <c r="E196" s="26">
        <v>218.4</v>
      </c>
      <c r="F196" s="26">
        <f>65.4+79.2</f>
        <v>144.60000000000002</v>
      </c>
      <c r="G196" s="111">
        <f t="shared" si="46"/>
        <v>-73.799999999999983</v>
      </c>
      <c r="H196" s="111">
        <f t="shared" si="47"/>
        <v>66.208791208791212</v>
      </c>
    </row>
    <row r="197" spans="1:8" ht="24.75" customHeight="1">
      <c r="A197" s="74"/>
      <c r="B197" s="81" t="s">
        <v>204</v>
      </c>
      <c r="C197" s="81"/>
      <c r="D197" s="26">
        <v>809.9</v>
      </c>
      <c r="E197" s="26">
        <v>1050.3</v>
      </c>
      <c r="F197" s="26">
        <f>766.9+926.5</f>
        <v>1693.4</v>
      </c>
      <c r="G197" s="111">
        <f t="shared" si="46"/>
        <v>643.10000000000014</v>
      </c>
      <c r="H197" s="111">
        <f t="shared" si="47"/>
        <v>161.23012472626868</v>
      </c>
    </row>
    <row r="198" spans="1:8" ht="24.75" customHeight="1">
      <c r="A198" s="74"/>
      <c r="B198" s="81" t="s">
        <v>179</v>
      </c>
      <c r="C198" s="81"/>
      <c r="D198" s="26">
        <v>55.3</v>
      </c>
      <c r="E198" s="26">
        <v>62.1</v>
      </c>
      <c r="F198" s="26">
        <f>23.7+35.7</f>
        <v>59.400000000000006</v>
      </c>
      <c r="G198" s="111">
        <f t="shared" si="46"/>
        <v>-2.6999999999999957</v>
      </c>
      <c r="H198" s="111">
        <f t="shared" si="47"/>
        <v>95.652173913043484</v>
      </c>
    </row>
    <row r="199" spans="1:8" ht="24.75" customHeight="1">
      <c r="A199" s="83" t="s">
        <v>433</v>
      </c>
      <c r="B199" s="182" t="s">
        <v>92</v>
      </c>
      <c r="C199" s="174">
        <v>1020</v>
      </c>
      <c r="D199" s="70">
        <f>D200</f>
        <v>0</v>
      </c>
      <c r="E199" s="70">
        <f>E200</f>
        <v>85.800000000000011</v>
      </c>
      <c r="F199" s="70">
        <f>F200</f>
        <v>61.5</v>
      </c>
      <c r="G199" s="172">
        <f t="shared" si="46"/>
        <v>-24.300000000000011</v>
      </c>
      <c r="H199" s="172">
        <f t="shared" si="47"/>
        <v>71.678321678321666</v>
      </c>
    </row>
    <row r="200" spans="1:8" ht="24.75" customHeight="1">
      <c r="A200" s="76" t="s">
        <v>434</v>
      </c>
      <c r="B200" s="92" t="s">
        <v>181</v>
      </c>
      <c r="C200" s="84">
        <v>1025</v>
      </c>
      <c r="D200" s="43">
        <f>SUM(D201:D204)</f>
        <v>0</v>
      </c>
      <c r="E200" s="43">
        <f>SUM(E201:E204)</f>
        <v>85.800000000000011</v>
      </c>
      <c r="F200" s="43">
        <f>SUM(F201:F204)</f>
        <v>61.5</v>
      </c>
      <c r="G200" s="175">
        <f t="shared" si="46"/>
        <v>-24.300000000000011</v>
      </c>
      <c r="H200" s="175">
        <f t="shared" si="47"/>
        <v>71.678321678321666</v>
      </c>
    </row>
    <row r="201" spans="1:8" ht="24.75" customHeight="1">
      <c r="A201" s="98"/>
      <c r="B201" s="91" t="s">
        <v>176</v>
      </c>
      <c r="C201" s="78"/>
      <c r="D201" s="26"/>
      <c r="E201" s="26">
        <v>55.9</v>
      </c>
      <c r="F201" s="26">
        <f>15.9+12.2</f>
        <v>28.1</v>
      </c>
      <c r="G201" s="111">
        <f t="shared" si="46"/>
        <v>-27.799999999999997</v>
      </c>
      <c r="H201" s="111">
        <f t="shared" si="47"/>
        <v>50.26833631484795</v>
      </c>
    </row>
    <row r="202" spans="1:8" ht="24.75" customHeight="1">
      <c r="A202" s="98"/>
      <c r="B202" s="91" t="s">
        <v>177</v>
      </c>
      <c r="C202" s="78"/>
      <c r="D202" s="26"/>
      <c r="E202" s="26">
        <v>4.9000000000000004</v>
      </c>
      <c r="F202" s="26">
        <f>1.4+1.1</f>
        <v>2.5</v>
      </c>
      <c r="G202" s="111">
        <f t="shared" si="46"/>
        <v>-2.4000000000000004</v>
      </c>
      <c r="H202" s="111">
        <f t="shared" si="47"/>
        <v>51.020408163265309</v>
      </c>
    </row>
    <row r="203" spans="1:8" ht="24.75" customHeight="1">
      <c r="A203" s="98"/>
      <c r="B203" s="91" t="s">
        <v>178</v>
      </c>
      <c r="C203" s="78"/>
      <c r="D203" s="26"/>
      <c r="E203" s="26">
        <v>23.6</v>
      </c>
      <c r="F203" s="26">
        <f>9.5+20.6</f>
        <v>30.1</v>
      </c>
      <c r="G203" s="111">
        <f t="shared" si="46"/>
        <v>6.5</v>
      </c>
      <c r="H203" s="111">
        <f t="shared" si="47"/>
        <v>127.54237288135593</v>
      </c>
    </row>
    <row r="204" spans="1:8" ht="24.75" customHeight="1">
      <c r="A204" s="98"/>
      <c r="B204" s="91" t="s">
        <v>205</v>
      </c>
      <c r="C204" s="78"/>
      <c r="D204" s="26"/>
      <c r="E204" s="26">
        <v>1.4</v>
      </c>
      <c r="F204" s="26">
        <v>0.8</v>
      </c>
      <c r="G204" s="111">
        <f t="shared" si="46"/>
        <v>-0.59999999999999987</v>
      </c>
      <c r="H204" s="111">
        <f t="shared" si="47"/>
        <v>57.142857142857153</v>
      </c>
    </row>
    <row r="205" spans="1:8" ht="25.5" customHeight="1">
      <c r="A205" s="221" t="s">
        <v>435</v>
      </c>
      <c r="B205" s="219" t="s">
        <v>401</v>
      </c>
      <c r="C205" s="223"/>
      <c r="D205" s="24">
        <f>D207</f>
        <v>1229.6999999999998</v>
      </c>
      <c r="E205" s="26"/>
      <c r="F205" s="24">
        <f>F207</f>
        <v>497.3</v>
      </c>
      <c r="G205" s="110"/>
      <c r="H205" s="110"/>
    </row>
    <row r="206" spans="1:8" ht="24.75" customHeight="1">
      <c r="A206" s="74"/>
      <c r="B206" s="94" t="s">
        <v>86</v>
      </c>
      <c r="C206" s="78"/>
      <c r="D206" s="26"/>
      <c r="E206" s="26"/>
      <c r="F206" s="26"/>
      <c r="G206" s="110"/>
      <c r="H206" s="110"/>
    </row>
    <row r="207" spans="1:8" ht="24.75" customHeight="1">
      <c r="A207" s="83" t="s">
        <v>436</v>
      </c>
      <c r="B207" s="173" t="s">
        <v>90</v>
      </c>
      <c r="C207" s="174">
        <v>1010</v>
      </c>
      <c r="D207" s="70">
        <f>D208</f>
        <v>1229.6999999999998</v>
      </c>
      <c r="E207" s="70"/>
      <c r="F207" s="70">
        <f>F208</f>
        <v>497.3</v>
      </c>
      <c r="G207" s="172">
        <f t="shared" ref="G207:G214" si="48">F207-E207</f>
        <v>497.3</v>
      </c>
      <c r="H207" s="181" t="e">
        <f t="shared" ref="H207:H214" si="49">(F207/E207)*100</f>
        <v>#DIV/0!</v>
      </c>
    </row>
    <row r="208" spans="1:8" ht="27.75" customHeight="1">
      <c r="A208" s="76" t="s">
        <v>437</v>
      </c>
      <c r="B208" s="92" t="s">
        <v>107</v>
      </c>
      <c r="C208" s="84">
        <v>1011</v>
      </c>
      <c r="D208" s="43">
        <f>SUM(D209:D214)</f>
        <v>1229.6999999999998</v>
      </c>
      <c r="E208" s="43"/>
      <c r="F208" s="43">
        <f>F211</f>
        <v>497.3</v>
      </c>
      <c r="G208" s="175">
        <f t="shared" si="48"/>
        <v>497.3</v>
      </c>
      <c r="H208" s="180" t="e">
        <f t="shared" si="49"/>
        <v>#DIV/0!</v>
      </c>
    </row>
    <row r="209" spans="1:8" ht="24.75" customHeight="1">
      <c r="A209" s="74"/>
      <c r="B209" s="86" t="s">
        <v>200</v>
      </c>
      <c r="C209" s="75"/>
      <c r="D209" s="26">
        <v>41</v>
      </c>
      <c r="E209" s="26"/>
      <c r="F209" s="26"/>
      <c r="G209" s="110">
        <f t="shared" si="48"/>
        <v>0</v>
      </c>
      <c r="H209" s="178" t="e">
        <f t="shared" si="49"/>
        <v>#DIV/0!</v>
      </c>
    </row>
    <row r="210" spans="1:8" ht="42.75" customHeight="1">
      <c r="A210" s="74"/>
      <c r="B210" s="77" t="s">
        <v>196</v>
      </c>
      <c r="C210" s="75"/>
      <c r="D210" s="26">
        <v>63.9</v>
      </c>
      <c r="E210" s="26"/>
      <c r="F210" s="26"/>
      <c r="G210" s="110">
        <f t="shared" si="48"/>
        <v>0</v>
      </c>
      <c r="H210" s="178" t="e">
        <f t="shared" si="49"/>
        <v>#DIV/0!</v>
      </c>
    </row>
    <row r="211" spans="1:8" ht="24.75" customHeight="1">
      <c r="A211" s="76"/>
      <c r="B211" s="77" t="s">
        <v>197</v>
      </c>
      <c r="C211" s="84"/>
      <c r="D211" s="26">
        <v>841.9</v>
      </c>
      <c r="E211" s="26"/>
      <c r="F211" s="26">
        <v>497.3</v>
      </c>
      <c r="G211" s="110">
        <f t="shared" si="48"/>
        <v>497.3</v>
      </c>
      <c r="H211" s="178" t="e">
        <f t="shared" si="49"/>
        <v>#DIV/0!</v>
      </c>
    </row>
    <row r="212" spans="1:8" ht="24.75" customHeight="1">
      <c r="A212" s="76"/>
      <c r="B212" s="77" t="s">
        <v>201</v>
      </c>
      <c r="C212" s="84"/>
      <c r="D212" s="26">
        <v>162.30000000000001</v>
      </c>
      <c r="E212" s="26"/>
      <c r="F212" s="26"/>
      <c r="G212" s="110">
        <f t="shared" si="48"/>
        <v>0</v>
      </c>
      <c r="H212" s="178" t="e">
        <f t="shared" si="49"/>
        <v>#DIV/0!</v>
      </c>
    </row>
    <row r="213" spans="1:8" ht="24.75" customHeight="1">
      <c r="A213" s="98"/>
      <c r="B213" s="77" t="s">
        <v>198</v>
      </c>
      <c r="C213" s="78"/>
      <c r="D213" s="26">
        <v>103.3</v>
      </c>
      <c r="E213" s="26"/>
      <c r="F213" s="26"/>
      <c r="G213" s="110">
        <f t="shared" si="48"/>
        <v>0</v>
      </c>
      <c r="H213" s="178" t="e">
        <f t="shared" si="49"/>
        <v>#DIV/0!</v>
      </c>
    </row>
    <row r="214" spans="1:8" ht="24.75" customHeight="1">
      <c r="A214" s="98"/>
      <c r="B214" s="77" t="s">
        <v>199</v>
      </c>
      <c r="C214" s="78"/>
      <c r="D214" s="26">
        <v>17.3</v>
      </c>
      <c r="E214" s="26"/>
      <c r="F214" s="26"/>
      <c r="G214" s="110">
        <f t="shared" si="48"/>
        <v>0</v>
      </c>
      <c r="H214" s="178" t="e">
        <f t="shared" si="49"/>
        <v>#DIV/0!</v>
      </c>
    </row>
    <row r="215" spans="1:8" ht="41.25" customHeight="1">
      <c r="A215" s="11" t="s">
        <v>394</v>
      </c>
      <c r="B215" s="201" t="s">
        <v>207</v>
      </c>
      <c r="C215" s="224"/>
      <c r="D215" s="24">
        <f>D217</f>
        <v>1.2</v>
      </c>
      <c r="E215" s="24">
        <f>E217</f>
        <v>12</v>
      </c>
      <c r="F215" s="24">
        <f>F217</f>
        <v>0</v>
      </c>
      <c r="G215" s="110">
        <f t="shared" ref="G215" si="50">F215-E215</f>
        <v>-12</v>
      </c>
      <c r="H215" s="110">
        <f t="shared" ref="H215" si="51">(F215/E215)*100</f>
        <v>0</v>
      </c>
    </row>
    <row r="216" spans="1:8" ht="24.75" customHeight="1">
      <c r="A216" s="98"/>
      <c r="B216" s="96" t="s">
        <v>86</v>
      </c>
      <c r="C216" s="78"/>
      <c r="D216" s="26"/>
      <c r="E216" s="26"/>
      <c r="F216" s="26"/>
      <c r="G216" s="110"/>
      <c r="H216" s="110"/>
    </row>
    <row r="217" spans="1:8" ht="30.75" customHeight="1">
      <c r="A217" s="99" t="s">
        <v>395</v>
      </c>
      <c r="B217" s="173" t="s">
        <v>90</v>
      </c>
      <c r="C217" s="174">
        <v>1010</v>
      </c>
      <c r="D217" s="70">
        <f t="shared" ref="D217:F218" si="52">D218</f>
        <v>1.2</v>
      </c>
      <c r="E217" s="70">
        <f t="shared" si="52"/>
        <v>12</v>
      </c>
      <c r="F217" s="70">
        <f t="shared" si="52"/>
        <v>0</v>
      </c>
      <c r="G217" s="172">
        <f t="shared" ref="G217:G219" si="53">F217-E217</f>
        <v>-12</v>
      </c>
      <c r="H217" s="172">
        <f t="shared" ref="H217:H219" si="54">(F217/E217)*100</f>
        <v>0</v>
      </c>
    </row>
    <row r="218" spans="1:8" ht="25.5" customHeight="1">
      <c r="A218" s="98" t="s">
        <v>438</v>
      </c>
      <c r="B218" s="121" t="s">
        <v>98</v>
      </c>
      <c r="C218" s="107">
        <v>1015</v>
      </c>
      <c r="D218" s="43">
        <f t="shared" si="52"/>
        <v>1.2</v>
      </c>
      <c r="E218" s="43">
        <f t="shared" si="52"/>
        <v>12</v>
      </c>
      <c r="F218" s="43">
        <f t="shared" si="52"/>
        <v>0</v>
      </c>
      <c r="G218" s="175">
        <f t="shared" si="53"/>
        <v>-12</v>
      </c>
      <c r="H218" s="175">
        <f t="shared" si="54"/>
        <v>0</v>
      </c>
    </row>
    <row r="219" spans="1:8" ht="29.25" customHeight="1">
      <c r="A219" s="95"/>
      <c r="B219" s="81" t="s">
        <v>153</v>
      </c>
      <c r="C219" s="81"/>
      <c r="D219" s="26">
        <v>1.2</v>
      </c>
      <c r="E219" s="26">
        <v>12</v>
      </c>
      <c r="F219" s="26"/>
      <c r="G219" s="111">
        <f t="shared" si="53"/>
        <v>-12</v>
      </c>
      <c r="H219" s="110">
        <f t="shared" si="54"/>
        <v>0</v>
      </c>
    </row>
    <row r="220" spans="1:8" ht="53.25" customHeight="1">
      <c r="A220" s="11" t="s">
        <v>235</v>
      </c>
      <c r="B220" s="201" t="s">
        <v>299</v>
      </c>
      <c r="C220" s="224"/>
      <c r="D220" s="24">
        <f>D222</f>
        <v>0.7</v>
      </c>
      <c r="E220" s="26"/>
      <c r="F220" s="26"/>
      <c r="G220" s="110"/>
      <c r="H220" s="110"/>
    </row>
    <row r="221" spans="1:8" ht="26.25" customHeight="1">
      <c r="A221" s="98"/>
      <c r="B221" s="96" t="s">
        <v>86</v>
      </c>
      <c r="C221" s="78"/>
      <c r="D221" s="26"/>
      <c r="E221" s="26"/>
      <c r="F221" s="26"/>
      <c r="G221" s="110"/>
      <c r="H221" s="110"/>
    </row>
    <row r="222" spans="1:8" ht="26.25" customHeight="1">
      <c r="A222" s="99" t="s">
        <v>439</v>
      </c>
      <c r="B222" s="173" t="s">
        <v>90</v>
      </c>
      <c r="C222" s="174">
        <v>1010</v>
      </c>
      <c r="D222" s="70">
        <f>D223</f>
        <v>0.7</v>
      </c>
      <c r="E222" s="70"/>
      <c r="F222" s="70"/>
      <c r="G222" s="172">
        <f t="shared" ref="G222:G225" si="55">F222-E222</f>
        <v>0</v>
      </c>
      <c r="H222" s="178" t="e">
        <f t="shared" ref="H222:H225" si="56">(F222/E222)*100</f>
        <v>#DIV/0!</v>
      </c>
    </row>
    <row r="223" spans="1:8" ht="26.25" customHeight="1">
      <c r="A223" s="98" t="s">
        <v>440</v>
      </c>
      <c r="B223" s="121" t="s">
        <v>98</v>
      </c>
      <c r="C223" s="107">
        <v>1015</v>
      </c>
      <c r="D223" s="43">
        <f>D224</f>
        <v>0.7</v>
      </c>
      <c r="E223" s="43"/>
      <c r="F223" s="43"/>
      <c r="G223" s="175">
        <f t="shared" si="55"/>
        <v>0</v>
      </c>
      <c r="H223" s="179" t="e">
        <f t="shared" si="56"/>
        <v>#DIV/0!</v>
      </c>
    </row>
    <row r="224" spans="1:8" ht="26.25" customHeight="1">
      <c r="A224" s="95"/>
      <c r="B224" s="81" t="s">
        <v>153</v>
      </c>
      <c r="C224" s="81"/>
      <c r="D224" s="26">
        <v>0.7</v>
      </c>
      <c r="E224" s="26"/>
      <c r="F224" s="26"/>
      <c r="G224" s="110">
        <f t="shared" si="55"/>
        <v>0</v>
      </c>
      <c r="H224" s="178" t="e">
        <f t="shared" si="56"/>
        <v>#DIV/0!</v>
      </c>
    </row>
    <row r="225" spans="1:8" ht="33" customHeight="1">
      <c r="A225" s="11" t="s">
        <v>239</v>
      </c>
      <c r="B225" s="219" t="s">
        <v>208</v>
      </c>
      <c r="C225" s="224"/>
      <c r="D225" s="24">
        <f>D227</f>
        <v>14.5</v>
      </c>
      <c r="E225" s="24">
        <f>E227</f>
        <v>87.5</v>
      </c>
      <c r="F225" s="24">
        <f>F227</f>
        <v>39.9</v>
      </c>
      <c r="G225" s="110">
        <f t="shared" si="55"/>
        <v>-47.6</v>
      </c>
      <c r="H225" s="110">
        <f t="shared" si="56"/>
        <v>45.599999999999994</v>
      </c>
    </row>
    <row r="226" spans="1:8" ht="27.75" customHeight="1">
      <c r="A226" s="98"/>
      <c r="B226" s="96" t="s">
        <v>86</v>
      </c>
      <c r="C226" s="84"/>
      <c r="D226" s="26"/>
      <c r="E226" s="26"/>
      <c r="F226" s="26"/>
      <c r="G226" s="110"/>
      <c r="H226" s="110"/>
    </row>
    <row r="227" spans="1:8" ht="27.75" customHeight="1">
      <c r="A227" s="99" t="s">
        <v>441</v>
      </c>
      <c r="B227" s="183" t="s">
        <v>12</v>
      </c>
      <c r="C227" s="174">
        <v>1030</v>
      </c>
      <c r="D227" s="70">
        <f>D228</f>
        <v>14.5</v>
      </c>
      <c r="E227" s="70">
        <f>E228</f>
        <v>87.5</v>
      </c>
      <c r="F227" s="70">
        <f>F228</f>
        <v>39.9</v>
      </c>
      <c r="G227" s="172">
        <f t="shared" ref="G227:G231" si="57">F227-E227</f>
        <v>-47.6</v>
      </c>
      <c r="H227" s="172">
        <f t="shared" ref="H227:H231" si="58">(F227/E227)*100</f>
        <v>45.599999999999994</v>
      </c>
    </row>
    <row r="228" spans="1:8" ht="25.5" customHeight="1">
      <c r="A228" s="98" t="s">
        <v>442</v>
      </c>
      <c r="B228" s="94" t="s">
        <v>93</v>
      </c>
      <c r="C228" s="84">
        <v>1035</v>
      </c>
      <c r="D228" s="43">
        <f>SUM(D229:D231)</f>
        <v>14.5</v>
      </c>
      <c r="E228" s="43">
        <f>SUM(E229:E231)</f>
        <v>87.5</v>
      </c>
      <c r="F228" s="43">
        <f>SUM(F229:F231)</f>
        <v>39.9</v>
      </c>
      <c r="G228" s="175">
        <f t="shared" si="57"/>
        <v>-47.6</v>
      </c>
      <c r="H228" s="175">
        <f t="shared" si="58"/>
        <v>45.599999999999994</v>
      </c>
    </row>
    <row r="229" spans="1:8" ht="24.75" customHeight="1">
      <c r="A229" s="100"/>
      <c r="B229" s="77" t="s">
        <v>176</v>
      </c>
      <c r="C229" s="78"/>
      <c r="D229" s="26">
        <v>4.8</v>
      </c>
      <c r="E229" s="26">
        <v>31.7</v>
      </c>
      <c r="F229" s="26">
        <f>5.3+1.5-1.9</f>
        <v>4.9000000000000004</v>
      </c>
      <c r="G229" s="111">
        <f t="shared" si="57"/>
        <v>-26.799999999999997</v>
      </c>
      <c r="H229" s="111">
        <f t="shared" si="58"/>
        <v>15.457413249211358</v>
      </c>
    </row>
    <row r="230" spans="1:8" ht="24.75" customHeight="1">
      <c r="A230" s="100"/>
      <c r="B230" s="77" t="s">
        <v>177</v>
      </c>
      <c r="C230" s="78"/>
      <c r="D230" s="26">
        <v>0.5</v>
      </c>
      <c r="E230" s="26">
        <v>1.9</v>
      </c>
      <c r="F230" s="26">
        <f>1+1.6-1.1</f>
        <v>1.5</v>
      </c>
      <c r="G230" s="111">
        <f t="shared" si="57"/>
        <v>-0.39999999999999991</v>
      </c>
      <c r="H230" s="111">
        <f t="shared" si="58"/>
        <v>78.94736842105263</v>
      </c>
    </row>
    <row r="231" spans="1:8" ht="26.25" customHeight="1">
      <c r="A231" s="95"/>
      <c r="B231" s="77" t="s">
        <v>178</v>
      </c>
      <c r="C231" s="78"/>
      <c r="D231" s="26">
        <v>9.1999999999999993</v>
      </c>
      <c r="E231" s="26">
        <v>53.9</v>
      </c>
      <c r="F231" s="26">
        <f>38.5-5</f>
        <v>33.5</v>
      </c>
      <c r="G231" s="111">
        <f t="shared" si="57"/>
        <v>-20.399999999999999</v>
      </c>
      <c r="H231" s="111">
        <f t="shared" si="58"/>
        <v>62.152133580705012</v>
      </c>
    </row>
    <row r="232" spans="1:8" ht="26.25" customHeight="1">
      <c r="A232" s="11" t="s">
        <v>209</v>
      </c>
      <c r="B232" s="219" t="s">
        <v>383</v>
      </c>
      <c r="C232" s="224"/>
      <c r="D232" s="26"/>
      <c r="E232" s="26"/>
      <c r="F232" s="24">
        <f>F234</f>
        <v>8</v>
      </c>
      <c r="G232" s="110">
        <f t="shared" ref="G232:G238" si="59">F232-E232</f>
        <v>8</v>
      </c>
      <c r="H232" s="178" t="e">
        <f t="shared" ref="H232:H238" si="60">(F232/E232)*100</f>
        <v>#DIV/0!</v>
      </c>
    </row>
    <row r="233" spans="1:8" ht="26.25" customHeight="1">
      <c r="A233" s="98"/>
      <c r="B233" s="96" t="s">
        <v>86</v>
      </c>
      <c r="C233" s="84"/>
      <c r="D233" s="26"/>
      <c r="E233" s="26"/>
      <c r="F233" s="26"/>
      <c r="G233" s="111">
        <f t="shared" si="59"/>
        <v>0</v>
      </c>
      <c r="H233" s="179" t="e">
        <f t="shared" si="60"/>
        <v>#DIV/0!</v>
      </c>
    </row>
    <row r="234" spans="1:8" ht="31.5" customHeight="1">
      <c r="A234" s="99" t="s">
        <v>443</v>
      </c>
      <c r="B234" s="183" t="s">
        <v>12</v>
      </c>
      <c r="C234" s="174">
        <v>1030</v>
      </c>
      <c r="D234" s="70"/>
      <c r="E234" s="70"/>
      <c r="F234" s="70">
        <f>F235</f>
        <v>8</v>
      </c>
      <c r="G234" s="172">
        <f t="shared" si="59"/>
        <v>8</v>
      </c>
      <c r="H234" s="181" t="e">
        <f t="shared" si="60"/>
        <v>#DIV/0!</v>
      </c>
    </row>
    <row r="235" spans="1:8" ht="26.25" customHeight="1">
      <c r="A235" s="98" t="s">
        <v>444</v>
      </c>
      <c r="B235" s="94" t="s">
        <v>93</v>
      </c>
      <c r="C235" s="84">
        <v>1035</v>
      </c>
      <c r="D235" s="43"/>
      <c r="E235" s="43"/>
      <c r="F235" s="43">
        <f>F236+F237+F238</f>
        <v>8</v>
      </c>
      <c r="G235" s="175">
        <f t="shared" si="59"/>
        <v>8</v>
      </c>
      <c r="H235" s="180" t="e">
        <f t="shared" si="60"/>
        <v>#DIV/0!</v>
      </c>
    </row>
    <row r="236" spans="1:8" ht="26.25" customHeight="1">
      <c r="A236" s="100"/>
      <c r="B236" s="77" t="s">
        <v>176</v>
      </c>
      <c r="C236" s="78"/>
      <c r="D236" s="26"/>
      <c r="E236" s="26"/>
      <c r="F236" s="26">
        <v>1.9</v>
      </c>
      <c r="G236" s="111">
        <f t="shared" si="59"/>
        <v>1.9</v>
      </c>
      <c r="H236" s="179" t="e">
        <f t="shared" si="60"/>
        <v>#DIV/0!</v>
      </c>
    </row>
    <row r="237" spans="1:8" ht="26.25" customHeight="1">
      <c r="A237" s="100"/>
      <c r="B237" s="77" t="s">
        <v>177</v>
      </c>
      <c r="C237" s="78"/>
      <c r="D237" s="26"/>
      <c r="E237" s="26"/>
      <c r="F237" s="26">
        <v>1.1000000000000001</v>
      </c>
      <c r="G237" s="111">
        <f t="shared" si="59"/>
        <v>1.1000000000000001</v>
      </c>
      <c r="H237" s="179" t="e">
        <f t="shared" si="60"/>
        <v>#DIV/0!</v>
      </c>
    </row>
    <row r="238" spans="1:8" ht="26.25" customHeight="1">
      <c r="A238" s="95"/>
      <c r="B238" s="77" t="s">
        <v>178</v>
      </c>
      <c r="C238" s="78"/>
      <c r="D238" s="26"/>
      <c r="E238" s="26"/>
      <c r="F238" s="26">
        <v>5</v>
      </c>
      <c r="G238" s="111">
        <f t="shared" si="59"/>
        <v>5</v>
      </c>
      <c r="H238" s="179" t="e">
        <f t="shared" si="60"/>
        <v>#DIV/0!</v>
      </c>
    </row>
    <row r="239" spans="1:8" ht="26.25" customHeight="1">
      <c r="A239" s="11" t="s">
        <v>396</v>
      </c>
      <c r="B239" s="219" t="s">
        <v>300</v>
      </c>
      <c r="C239" s="224"/>
      <c r="D239" s="24">
        <f>D241</f>
        <v>1.7999999999999998</v>
      </c>
      <c r="E239" s="26"/>
      <c r="F239" s="26"/>
      <c r="G239" s="110"/>
      <c r="H239" s="110"/>
    </row>
    <row r="240" spans="1:8" ht="26.25" customHeight="1">
      <c r="A240" s="98"/>
      <c r="B240" s="96" t="s">
        <v>86</v>
      </c>
      <c r="C240" s="84"/>
      <c r="D240" s="26"/>
      <c r="E240" s="26"/>
      <c r="F240" s="26"/>
      <c r="G240" s="110"/>
      <c r="H240" s="110"/>
    </row>
    <row r="241" spans="1:8" ht="26.25" customHeight="1">
      <c r="A241" s="99" t="s">
        <v>445</v>
      </c>
      <c r="B241" s="183" t="s">
        <v>12</v>
      </c>
      <c r="C241" s="174">
        <v>1030</v>
      </c>
      <c r="D241" s="70">
        <f>D242</f>
        <v>1.7999999999999998</v>
      </c>
      <c r="E241" s="70"/>
      <c r="F241" s="70"/>
      <c r="G241" s="172">
        <f t="shared" ref="G241:G248" si="61">F241-E241</f>
        <v>0</v>
      </c>
      <c r="H241" s="181" t="e">
        <f t="shared" ref="H241:H248" si="62">(F241/E241)*100</f>
        <v>#DIV/0!</v>
      </c>
    </row>
    <row r="242" spans="1:8" ht="26.25" customHeight="1">
      <c r="A242" s="98" t="s">
        <v>446</v>
      </c>
      <c r="B242" s="94" t="s">
        <v>93</v>
      </c>
      <c r="C242" s="84">
        <v>1035</v>
      </c>
      <c r="D242" s="43">
        <f>D243+D244+D245</f>
        <v>1.7999999999999998</v>
      </c>
      <c r="E242" s="43"/>
      <c r="F242" s="43"/>
      <c r="G242" s="175">
        <f t="shared" si="61"/>
        <v>0</v>
      </c>
      <c r="H242" s="180" t="e">
        <f t="shared" si="62"/>
        <v>#DIV/0!</v>
      </c>
    </row>
    <row r="243" spans="1:8" ht="26.25" customHeight="1">
      <c r="A243" s="100"/>
      <c r="B243" s="77" t="s">
        <v>176</v>
      </c>
      <c r="C243" s="78"/>
      <c r="D243" s="26">
        <v>0.6</v>
      </c>
      <c r="E243" s="26"/>
      <c r="F243" s="26"/>
      <c r="G243" s="111">
        <f t="shared" si="61"/>
        <v>0</v>
      </c>
      <c r="H243" s="179" t="e">
        <f t="shared" si="62"/>
        <v>#DIV/0!</v>
      </c>
    </row>
    <row r="244" spans="1:8" ht="26.25" customHeight="1">
      <c r="A244" s="100"/>
      <c r="B244" s="77" t="s">
        <v>177</v>
      </c>
      <c r="C244" s="78"/>
      <c r="D244" s="26">
        <v>0.3</v>
      </c>
      <c r="E244" s="26"/>
      <c r="F244" s="26"/>
      <c r="G244" s="111">
        <f t="shared" si="61"/>
        <v>0</v>
      </c>
      <c r="H244" s="179" t="e">
        <f t="shared" si="62"/>
        <v>#DIV/0!</v>
      </c>
    </row>
    <row r="245" spans="1:8" ht="26.25" customHeight="1">
      <c r="A245" s="95"/>
      <c r="B245" s="77" t="s">
        <v>178</v>
      </c>
      <c r="C245" s="78"/>
      <c r="D245" s="26">
        <v>0.9</v>
      </c>
      <c r="E245" s="26"/>
      <c r="F245" s="26"/>
      <c r="G245" s="111">
        <f t="shared" si="61"/>
        <v>0</v>
      </c>
      <c r="H245" s="179" t="e">
        <f t="shared" si="62"/>
        <v>#DIV/0!</v>
      </c>
    </row>
    <row r="246" spans="1:8" ht="24.75" customHeight="1">
      <c r="A246" s="11" t="s">
        <v>397</v>
      </c>
      <c r="B246" s="225" t="s">
        <v>210</v>
      </c>
      <c r="C246" s="199"/>
      <c r="D246" s="24">
        <f>D248+D251</f>
        <v>18.400000000000002</v>
      </c>
      <c r="E246" s="24">
        <f>E248+E251</f>
        <v>11.2</v>
      </c>
      <c r="F246" s="24">
        <f>F248+F251</f>
        <v>35.699999999999996</v>
      </c>
      <c r="G246" s="110">
        <f t="shared" si="61"/>
        <v>24.499999999999996</v>
      </c>
      <c r="H246" s="110">
        <f t="shared" si="62"/>
        <v>318.75</v>
      </c>
    </row>
    <row r="247" spans="1:8" ht="24.75" customHeight="1">
      <c r="A247" s="95"/>
      <c r="B247" s="96" t="s">
        <v>86</v>
      </c>
      <c r="C247" s="87"/>
      <c r="D247" s="26"/>
      <c r="E247" s="26"/>
      <c r="F247" s="26"/>
      <c r="G247" s="111">
        <f t="shared" si="61"/>
        <v>0</v>
      </c>
      <c r="H247" s="179" t="e">
        <f t="shared" si="62"/>
        <v>#DIV/0!</v>
      </c>
    </row>
    <row r="248" spans="1:8" ht="24.75" customHeight="1">
      <c r="A248" s="99" t="s">
        <v>447</v>
      </c>
      <c r="B248" s="173" t="s">
        <v>90</v>
      </c>
      <c r="C248" s="119">
        <v>1010</v>
      </c>
      <c r="D248" s="70">
        <f t="shared" ref="D248:F249" si="63">D249</f>
        <v>16.8</v>
      </c>
      <c r="E248" s="70">
        <f t="shared" si="63"/>
        <v>10</v>
      </c>
      <c r="F248" s="70">
        <f t="shared" si="63"/>
        <v>34.299999999999997</v>
      </c>
      <c r="G248" s="172">
        <f t="shared" si="61"/>
        <v>24.299999999999997</v>
      </c>
      <c r="H248" s="172">
        <f t="shared" si="62"/>
        <v>343</v>
      </c>
    </row>
    <row r="249" spans="1:8" ht="27" customHeight="1">
      <c r="A249" s="98" t="s">
        <v>448</v>
      </c>
      <c r="B249" s="106" t="s">
        <v>98</v>
      </c>
      <c r="C249" s="107">
        <v>1015</v>
      </c>
      <c r="D249" s="43">
        <f t="shared" si="63"/>
        <v>16.8</v>
      </c>
      <c r="E249" s="43">
        <f t="shared" si="63"/>
        <v>10</v>
      </c>
      <c r="F249" s="43">
        <f t="shared" si="63"/>
        <v>34.299999999999997</v>
      </c>
      <c r="G249" s="175">
        <f>F249-E249</f>
        <v>24.299999999999997</v>
      </c>
      <c r="H249" s="175">
        <f>(F249/E249)*100</f>
        <v>343</v>
      </c>
    </row>
    <row r="250" spans="1:8" ht="24.75" customHeight="1">
      <c r="A250" s="100"/>
      <c r="B250" s="77" t="s">
        <v>211</v>
      </c>
      <c r="C250" s="88"/>
      <c r="D250" s="26">
        <v>16.8</v>
      </c>
      <c r="E250" s="26">
        <v>10</v>
      </c>
      <c r="F250" s="26">
        <v>34.299999999999997</v>
      </c>
      <c r="G250" s="111">
        <f>F250-E250</f>
        <v>24.299999999999997</v>
      </c>
      <c r="H250" s="111">
        <f>(F250/E250)*100</f>
        <v>343</v>
      </c>
    </row>
    <row r="251" spans="1:8" ht="29.25" customHeight="1">
      <c r="A251" s="99" t="s">
        <v>449</v>
      </c>
      <c r="B251" s="118" t="s">
        <v>92</v>
      </c>
      <c r="C251" s="119">
        <v>1020</v>
      </c>
      <c r="D251" s="70">
        <f t="shared" ref="D251:F252" si="64">D252</f>
        <v>1.6</v>
      </c>
      <c r="E251" s="70">
        <f t="shared" si="64"/>
        <v>1.2</v>
      </c>
      <c r="F251" s="70">
        <f t="shared" si="64"/>
        <v>1.4</v>
      </c>
      <c r="G251" s="172">
        <f>F251-E251</f>
        <v>0.19999999999999996</v>
      </c>
      <c r="H251" s="172">
        <f>(F251/E251)*100</f>
        <v>116.66666666666667</v>
      </c>
    </row>
    <row r="252" spans="1:8" ht="27" customHeight="1">
      <c r="A252" s="98" t="s">
        <v>450</v>
      </c>
      <c r="B252" s="92" t="s">
        <v>181</v>
      </c>
      <c r="C252" s="84">
        <v>1025</v>
      </c>
      <c r="D252" s="43">
        <f t="shared" si="64"/>
        <v>1.6</v>
      </c>
      <c r="E252" s="43">
        <f t="shared" si="64"/>
        <v>1.2</v>
      </c>
      <c r="F252" s="43">
        <f t="shared" si="64"/>
        <v>1.4</v>
      </c>
      <c r="G252" s="175">
        <f>F252-E252</f>
        <v>0.19999999999999996</v>
      </c>
      <c r="H252" s="175">
        <f>(F252/E252)*100</f>
        <v>116.66666666666667</v>
      </c>
    </row>
    <row r="253" spans="1:8" ht="24.75" customHeight="1">
      <c r="A253" s="95"/>
      <c r="B253" s="86" t="s">
        <v>212</v>
      </c>
      <c r="C253" s="78"/>
      <c r="D253" s="26">
        <v>1.6</v>
      </c>
      <c r="E253" s="26">
        <v>1.2</v>
      </c>
      <c r="F253" s="26">
        <v>1.4</v>
      </c>
      <c r="G253" s="111">
        <f>F253-E253</f>
        <v>0.19999999999999996</v>
      </c>
      <c r="H253" s="111">
        <f>(F253/E253)*100</f>
        <v>116.66666666666667</v>
      </c>
    </row>
    <row r="254" spans="1:8" ht="29.25" customHeight="1">
      <c r="A254" s="95" t="s">
        <v>245</v>
      </c>
      <c r="B254" s="226" t="s">
        <v>278</v>
      </c>
      <c r="C254" s="75"/>
      <c r="D254" s="26"/>
      <c r="E254" s="24"/>
      <c r="F254" s="24">
        <f>F256</f>
        <v>14.8</v>
      </c>
      <c r="G254" s="111">
        <f t="shared" ref="G254:G258" si="65">F254-E254</f>
        <v>14.8</v>
      </c>
      <c r="H254" s="179" t="e">
        <f t="shared" ref="H254:H258" si="66">(F254/E254)*100</f>
        <v>#DIV/0!</v>
      </c>
    </row>
    <row r="255" spans="1:8" ht="24.75" customHeight="1">
      <c r="A255" s="11"/>
      <c r="B255" s="102" t="s">
        <v>86</v>
      </c>
      <c r="C255" s="199"/>
      <c r="D255" s="26"/>
      <c r="E255" s="26"/>
      <c r="F255" s="26"/>
      <c r="G255" s="111">
        <f t="shared" si="65"/>
        <v>0</v>
      </c>
      <c r="H255" s="179" t="e">
        <f t="shared" si="66"/>
        <v>#DIV/0!</v>
      </c>
    </row>
    <row r="256" spans="1:8" ht="24.75" customHeight="1">
      <c r="A256" s="99" t="s">
        <v>451</v>
      </c>
      <c r="B256" s="118" t="s">
        <v>93</v>
      </c>
      <c r="C256" s="119">
        <v>1030</v>
      </c>
      <c r="D256" s="26"/>
      <c r="E256" s="26"/>
      <c r="F256" s="70">
        <f>F257</f>
        <v>14.8</v>
      </c>
      <c r="G256" s="111">
        <f t="shared" si="65"/>
        <v>14.8</v>
      </c>
      <c r="H256" s="179" t="e">
        <f t="shared" si="66"/>
        <v>#DIV/0!</v>
      </c>
    </row>
    <row r="257" spans="1:8" ht="24.75" customHeight="1">
      <c r="A257" s="98" t="s">
        <v>452</v>
      </c>
      <c r="B257" s="96" t="s">
        <v>93</v>
      </c>
      <c r="C257" s="84">
        <v>1035</v>
      </c>
      <c r="D257" s="26"/>
      <c r="E257" s="26"/>
      <c r="F257" s="43">
        <f>F258</f>
        <v>14.8</v>
      </c>
      <c r="G257" s="111">
        <f t="shared" si="65"/>
        <v>14.8</v>
      </c>
      <c r="H257" s="179" t="e">
        <f t="shared" si="66"/>
        <v>#DIV/0!</v>
      </c>
    </row>
    <row r="258" spans="1:8" ht="24.75" customHeight="1">
      <c r="A258" s="95"/>
      <c r="B258" s="86" t="s">
        <v>249</v>
      </c>
      <c r="C258" s="75"/>
      <c r="D258" s="26"/>
      <c r="E258" s="26"/>
      <c r="F258" s="26">
        <v>14.8</v>
      </c>
      <c r="G258" s="111">
        <f t="shared" si="65"/>
        <v>14.8</v>
      </c>
      <c r="H258" s="179" t="e">
        <f t="shared" si="66"/>
        <v>#DIV/0!</v>
      </c>
    </row>
    <row r="259" spans="1:8" ht="24.75" customHeight="1">
      <c r="A259" s="11" t="s">
        <v>248</v>
      </c>
      <c r="B259" s="218" t="s">
        <v>236</v>
      </c>
      <c r="C259" s="6"/>
      <c r="D259" s="24">
        <f>D261+D277+D273</f>
        <v>1367.8999999999999</v>
      </c>
      <c r="E259" s="24"/>
      <c r="F259" s="24">
        <f>F261</f>
        <v>933.69999999999993</v>
      </c>
      <c r="G259" s="110">
        <f>F259-E259</f>
        <v>933.69999999999993</v>
      </c>
      <c r="H259" s="178" t="e">
        <f>(F259/E259)*100</f>
        <v>#DIV/0!</v>
      </c>
    </row>
    <row r="260" spans="1:8" ht="24.75" customHeight="1">
      <c r="A260" s="100"/>
      <c r="B260" s="96" t="s">
        <v>86</v>
      </c>
      <c r="C260" s="88"/>
      <c r="D260" s="26"/>
      <c r="E260" s="26">
        <f>E262</f>
        <v>0</v>
      </c>
      <c r="F260" s="26"/>
      <c r="G260" s="110">
        <f>F260-E260</f>
        <v>0</v>
      </c>
      <c r="H260" s="178" t="e">
        <f>(F260/E260)*100</f>
        <v>#DIV/0!</v>
      </c>
    </row>
    <row r="261" spans="1:8" ht="24.75" customHeight="1">
      <c r="A261" s="99" t="s">
        <v>453</v>
      </c>
      <c r="B261" s="118" t="s">
        <v>90</v>
      </c>
      <c r="C261" s="119">
        <v>1010</v>
      </c>
      <c r="D261" s="70">
        <f>D262+D268</f>
        <v>1365.9999999999998</v>
      </c>
      <c r="E261" s="70"/>
      <c r="F261" s="70">
        <f>F262+F268</f>
        <v>933.69999999999993</v>
      </c>
      <c r="G261" s="172">
        <f>F261-E261</f>
        <v>933.69999999999993</v>
      </c>
      <c r="H261" s="181" t="e">
        <f>(F261/E261)*100</f>
        <v>#DIV/0!</v>
      </c>
    </row>
    <row r="262" spans="1:8" ht="24.75" customHeight="1">
      <c r="A262" s="98" t="s">
        <v>454</v>
      </c>
      <c r="B262" s="92" t="s">
        <v>107</v>
      </c>
      <c r="C262" s="84">
        <v>1011</v>
      </c>
      <c r="D262" s="43">
        <f>SUM(D263:D267)</f>
        <v>1178.6999999999998</v>
      </c>
      <c r="E262" s="43"/>
      <c r="F262" s="43">
        <f>SUM(F263:F267)</f>
        <v>784.09999999999991</v>
      </c>
      <c r="G262" s="175">
        <f>F262-E262</f>
        <v>784.09999999999991</v>
      </c>
      <c r="H262" s="180" t="e">
        <f>(F262/E262)*100</f>
        <v>#DIV/0!</v>
      </c>
    </row>
    <row r="263" spans="1:8" ht="24.75" customHeight="1">
      <c r="A263" s="95"/>
      <c r="B263" s="86" t="s">
        <v>225</v>
      </c>
      <c r="C263" s="75"/>
      <c r="D263" s="26">
        <v>1136.5</v>
      </c>
      <c r="E263" s="26"/>
      <c r="F263" s="26">
        <f>407.6+1.5+233.2-2.2+32.1+0.7</f>
        <v>672.9</v>
      </c>
      <c r="G263" s="111">
        <f t="shared" ref="G263:G327" si="67">F263-E263</f>
        <v>672.9</v>
      </c>
      <c r="H263" s="178" t="e">
        <f t="shared" ref="H263:H327" si="68">(F263/E263)*100</f>
        <v>#DIV/0!</v>
      </c>
    </row>
    <row r="264" spans="1:8" ht="24.75" customHeight="1">
      <c r="A264" s="95"/>
      <c r="B264" s="86" t="s">
        <v>141</v>
      </c>
      <c r="C264" s="75"/>
      <c r="D264" s="26">
        <v>14.8</v>
      </c>
      <c r="E264" s="26"/>
      <c r="F264" s="26">
        <v>67.900000000000006</v>
      </c>
      <c r="G264" s="111">
        <f t="shared" si="67"/>
        <v>67.900000000000006</v>
      </c>
      <c r="H264" s="178" t="e">
        <f t="shared" si="68"/>
        <v>#DIV/0!</v>
      </c>
    </row>
    <row r="265" spans="1:8" ht="40.5" customHeight="1">
      <c r="A265" s="95"/>
      <c r="B265" s="77" t="s">
        <v>226</v>
      </c>
      <c r="C265" s="75"/>
      <c r="D265" s="26">
        <v>24.5</v>
      </c>
      <c r="E265" s="26"/>
      <c r="F265" s="26">
        <f>43+0.3</f>
        <v>43.3</v>
      </c>
      <c r="G265" s="111">
        <f t="shared" si="67"/>
        <v>43.3</v>
      </c>
      <c r="H265" s="178" t="e">
        <f t="shared" si="68"/>
        <v>#DIV/0!</v>
      </c>
    </row>
    <row r="266" spans="1:8" ht="40.5" customHeight="1">
      <c r="A266" s="95"/>
      <c r="B266" s="77" t="s">
        <v>293</v>
      </c>
      <c r="C266" s="75"/>
      <c r="D266" s="26">
        <v>2.6</v>
      </c>
      <c r="E266" s="26"/>
      <c r="F266" s="26"/>
      <c r="G266" s="111">
        <f t="shared" si="67"/>
        <v>0</v>
      </c>
      <c r="H266" s="178" t="e">
        <f t="shared" si="68"/>
        <v>#DIV/0!</v>
      </c>
    </row>
    <row r="267" spans="1:8" ht="27" customHeight="1">
      <c r="A267" s="95"/>
      <c r="B267" s="77" t="s">
        <v>167</v>
      </c>
      <c r="C267" s="75"/>
      <c r="D267" s="26">
        <v>0.3</v>
      </c>
      <c r="E267" s="26"/>
      <c r="F267" s="26"/>
      <c r="G267" s="111">
        <f t="shared" si="67"/>
        <v>0</v>
      </c>
      <c r="H267" s="178" t="e">
        <f t="shared" si="68"/>
        <v>#DIV/0!</v>
      </c>
    </row>
    <row r="268" spans="1:8" ht="24.75" customHeight="1">
      <c r="A268" s="98" t="s">
        <v>455</v>
      </c>
      <c r="B268" s="97" t="s">
        <v>98</v>
      </c>
      <c r="C268" s="107">
        <v>1015</v>
      </c>
      <c r="D268" s="43">
        <f>SUM(D269:D272)</f>
        <v>187.29999999999998</v>
      </c>
      <c r="E268" s="43"/>
      <c r="F268" s="43">
        <f>SUM(F269:F272)</f>
        <v>149.6</v>
      </c>
      <c r="G268" s="175">
        <f t="shared" si="67"/>
        <v>149.6</v>
      </c>
      <c r="H268" s="180" t="e">
        <f t="shared" si="68"/>
        <v>#DIV/0!</v>
      </c>
    </row>
    <row r="269" spans="1:8" ht="24.75" customHeight="1">
      <c r="A269" s="95"/>
      <c r="B269" s="101" t="s">
        <v>148</v>
      </c>
      <c r="C269" s="87"/>
      <c r="D269" s="26">
        <v>6.6</v>
      </c>
      <c r="E269" s="26"/>
      <c r="F269" s="26"/>
      <c r="G269" s="111">
        <f t="shared" si="67"/>
        <v>0</v>
      </c>
      <c r="H269" s="178" t="e">
        <f t="shared" si="68"/>
        <v>#DIV/0!</v>
      </c>
    </row>
    <row r="270" spans="1:8" ht="24.75" customHeight="1">
      <c r="A270" s="95"/>
      <c r="B270" s="101" t="s">
        <v>211</v>
      </c>
      <c r="C270" s="87"/>
      <c r="D270" s="26">
        <v>13.2</v>
      </c>
      <c r="E270" s="26"/>
      <c r="F270" s="26"/>
      <c r="G270" s="111">
        <f t="shared" si="67"/>
        <v>0</v>
      </c>
      <c r="H270" s="178" t="e">
        <f t="shared" si="68"/>
        <v>#DIV/0!</v>
      </c>
    </row>
    <row r="271" spans="1:8" ht="24.75" customHeight="1">
      <c r="A271" s="95"/>
      <c r="B271" s="101" t="s">
        <v>301</v>
      </c>
      <c r="C271" s="87"/>
      <c r="D271" s="26">
        <v>1.4</v>
      </c>
      <c r="E271" s="26"/>
      <c r="F271" s="26">
        <v>2.1</v>
      </c>
      <c r="G271" s="111">
        <f t="shared" si="67"/>
        <v>2.1</v>
      </c>
      <c r="H271" s="178" t="e">
        <f t="shared" si="68"/>
        <v>#DIV/0!</v>
      </c>
    </row>
    <row r="272" spans="1:8" ht="24.75" customHeight="1">
      <c r="A272" s="95"/>
      <c r="B272" s="77" t="s">
        <v>171</v>
      </c>
      <c r="C272" s="88"/>
      <c r="D272" s="26">
        <v>166.1</v>
      </c>
      <c r="E272" s="26"/>
      <c r="F272" s="26">
        <f>22.5+125</f>
        <v>147.5</v>
      </c>
      <c r="G272" s="111">
        <f t="shared" si="67"/>
        <v>147.5</v>
      </c>
      <c r="H272" s="178" t="e">
        <f t="shared" si="68"/>
        <v>#DIV/0!</v>
      </c>
    </row>
    <row r="273" spans="1:8" ht="29.25" customHeight="1">
      <c r="A273" s="99" t="s">
        <v>456</v>
      </c>
      <c r="B273" s="118" t="s">
        <v>92</v>
      </c>
      <c r="C273" s="119">
        <v>1020</v>
      </c>
      <c r="D273" s="70">
        <f>D274</f>
        <v>1.7000000000000002</v>
      </c>
      <c r="E273" s="24"/>
      <c r="F273" s="24"/>
      <c r="G273" s="110">
        <f t="shared" si="67"/>
        <v>0</v>
      </c>
      <c r="H273" s="178" t="e">
        <f t="shared" si="68"/>
        <v>#DIV/0!</v>
      </c>
    </row>
    <row r="274" spans="1:8" ht="25.5" customHeight="1">
      <c r="A274" s="98" t="s">
        <v>457</v>
      </c>
      <c r="B274" s="92" t="s">
        <v>181</v>
      </c>
      <c r="C274" s="84">
        <v>1025</v>
      </c>
      <c r="D274" s="43">
        <f>D275+D276</f>
        <v>1.7000000000000002</v>
      </c>
      <c r="E274" s="43"/>
      <c r="F274" s="43"/>
      <c r="G274" s="175">
        <f t="shared" si="67"/>
        <v>0</v>
      </c>
      <c r="H274" s="180" t="e">
        <f t="shared" si="68"/>
        <v>#DIV/0!</v>
      </c>
    </row>
    <row r="275" spans="1:8" ht="24.75" customHeight="1">
      <c r="A275" s="95"/>
      <c r="B275" s="77" t="s">
        <v>172</v>
      </c>
      <c r="C275" s="88"/>
      <c r="D275" s="26">
        <v>1.3</v>
      </c>
      <c r="E275" s="26"/>
      <c r="F275" s="26"/>
      <c r="G275" s="110">
        <f t="shared" si="67"/>
        <v>0</v>
      </c>
      <c r="H275" s="178" t="e">
        <f t="shared" si="68"/>
        <v>#DIV/0!</v>
      </c>
    </row>
    <row r="276" spans="1:8" ht="24.75" customHeight="1">
      <c r="A276" s="95"/>
      <c r="B276" s="77" t="s">
        <v>274</v>
      </c>
      <c r="C276" s="88"/>
      <c r="D276" s="26">
        <v>0.4</v>
      </c>
      <c r="E276" s="26"/>
      <c r="F276" s="26"/>
      <c r="G276" s="110">
        <f t="shared" si="67"/>
        <v>0</v>
      </c>
      <c r="H276" s="178" t="e">
        <f t="shared" si="68"/>
        <v>#DIV/0!</v>
      </c>
    </row>
    <row r="277" spans="1:8" ht="24.75" customHeight="1">
      <c r="A277" s="99" t="s">
        <v>458</v>
      </c>
      <c r="B277" s="118" t="s">
        <v>93</v>
      </c>
      <c r="C277" s="119">
        <v>1030</v>
      </c>
      <c r="D277" s="70">
        <f>D278</f>
        <v>0.2</v>
      </c>
      <c r="E277" s="70"/>
      <c r="F277" s="70"/>
      <c r="G277" s="172">
        <f t="shared" si="67"/>
        <v>0</v>
      </c>
      <c r="H277" s="181" t="e">
        <f t="shared" si="68"/>
        <v>#DIV/0!</v>
      </c>
    </row>
    <row r="278" spans="1:8" ht="24.75" customHeight="1">
      <c r="A278" s="98" t="s">
        <v>459</v>
      </c>
      <c r="B278" s="96" t="s">
        <v>93</v>
      </c>
      <c r="C278" s="84">
        <v>1035</v>
      </c>
      <c r="D278" s="43">
        <f>D279</f>
        <v>0.2</v>
      </c>
      <c r="E278" s="43"/>
      <c r="F278" s="43"/>
      <c r="G278" s="172">
        <f t="shared" si="67"/>
        <v>0</v>
      </c>
      <c r="H278" s="181" t="e">
        <f t="shared" si="68"/>
        <v>#DIV/0!</v>
      </c>
    </row>
    <row r="279" spans="1:8" ht="24.75" customHeight="1">
      <c r="A279" s="95"/>
      <c r="B279" s="86" t="s">
        <v>269</v>
      </c>
      <c r="C279" s="87"/>
      <c r="D279" s="26">
        <v>0.2</v>
      </c>
      <c r="E279" s="26"/>
      <c r="F279" s="26"/>
      <c r="G279" s="110">
        <f t="shared" si="67"/>
        <v>0</v>
      </c>
      <c r="H279" s="178" t="e">
        <f t="shared" si="68"/>
        <v>#DIV/0!</v>
      </c>
    </row>
    <row r="280" spans="1:8" ht="24.75" customHeight="1">
      <c r="A280" s="11" t="s">
        <v>265</v>
      </c>
      <c r="B280" s="219" t="s">
        <v>240</v>
      </c>
      <c r="C280" s="199"/>
      <c r="D280" s="24">
        <f>D282+D302</f>
        <v>87.2</v>
      </c>
      <c r="E280" s="24">
        <f>E282+E302</f>
        <v>0</v>
      </c>
      <c r="F280" s="24">
        <f>F282+F302</f>
        <v>262.09999999999997</v>
      </c>
      <c r="G280" s="110">
        <f t="shared" si="67"/>
        <v>262.09999999999997</v>
      </c>
      <c r="H280" s="178" t="e">
        <f t="shared" si="68"/>
        <v>#DIV/0!</v>
      </c>
    </row>
    <row r="281" spans="1:8" ht="24.75" customHeight="1">
      <c r="A281" s="95"/>
      <c r="B281" s="106" t="s">
        <v>86</v>
      </c>
      <c r="C281" s="87"/>
      <c r="D281" s="26"/>
      <c r="E281" s="26"/>
      <c r="F281" s="26"/>
      <c r="G281" s="110">
        <f t="shared" si="67"/>
        <v>0</v>
      </c>
      <c r="H281" s="178" t="e">
        <f t="shared" si="68"/>
        <v>#DIV/0!</v>
      </c>
    </row>
    <row r="282" spans="1:8" ht="24.75" customHeight="1">
      <c r="A282" s="99" t="s">
        <v>460</v>
      </c>
      <c r="B282" s="118" t="s">
        <v>90</v>
      </c>
      <c r="C282" s="119">
        <v>1010</v>
      </c>
      <c r="D282" s="70">
        <f>D283+D290+D291</f>
        <v>67.8</v>
      </c>
      <c r="E282" s="70">
        <f>E283+E290+E291</f>
        <v>0</v>
      </c>
      <c r="F282" s="70">
        <f>F283+F290+F291</f>
        <v>168.89999999999998</v>
      </c>
      <c r="G282" s="172">
        <f t="shared" si="67"/>
        <v>168.89999999999998</v>
      </c>
      <c r="H282" s="181" t="e">
        <f t="shared" si="68"/>
        <v>#DIV/0!</v>
      </c>
    </row>
    <row r="283" spans="1:8" ht="24.75" customHeight="1">
      <c r="A283" s="98" t="s">
        <v>267</v>
      </c>
      <c r="B283" s="92" t="s">
        <v>107</v>
      </c>
      <c r="C283" s="84">
        <v>1011</v>
      </c>
      <c r="D283" s="43">
        <f>SUM(D284:D289)</f>
        <v>47.2</v>
      </c>
      <c r="E283" s="43">
        <f>SUM(E284:E289)</f>
        <v>0</v>
      </c>
      <c r="F283" s="43">
        <f>SUM(F284:F289)</f>
        <v>124.3</v>
      </c>
      <c r="G283" s="175">
        <f t="shared" si="67"/>
        <v>124.3</v>
      </c>
      <c r="H283" s="180" t="e">
        <f t="shared" si="68"/>
        <v>#DIV/0!</v>
      </c>
    </row>
    <row r="284" spans="1:8" ht="24.75" customHeight="1">
      <c r="A284" s="95"/>
      <c r="B284" s="86" t="s">
        <v>184</v>
      </c>
      <c r="C284" s="75"/>
      <c r="D284" s="26"/>
      <c r="E284" s="26"/>
      <c r="F284" s="26">
        <f>2.9+2.4</f>
        <v>5.3</v>
      </c>
      <c r="G284" s="111">
        <f t="shared" si="67"/>
        <v>5.3</v>
      </c>
      <c r="H284" s="178" t="e">
        <f t="shared" si="68"/>
        <v>#DIV/0!</v>
      </c>
    </row>
    <row r="285" spans="1:8" ht="24.75" customHeight="1">
      <c r="A285" s="100"/>
      <c r="B285" s="86" t="s">
        <v>241</v>
      </c>
      <c r="C285" s="75"/>
      <c r="D285" s="26"/>
      <c r="E285" s="26"/>
      <c r="F285" s="26">
        <f>26+17.3</f>
        <v>43.3</v>
      </c>
      <c r="G285" s="111">
        <f t="shared" si="67"/>
        <v>43.3</v>
      </c>
      <c r="H285" s="178" t="e">
        <f t="shared" si="68"/>
        <v>#DIV/0!</v>
      </c>
    </row>
    <row r="286" spans="1:8" ht="24.75" customHeight="1">
      <c r="A286" s="100"/>
      <c r="B286" s="86" t="s">
        <v>141</v>
      </c>
      <c r="C286" s="75"/>
      <c r="D286" s="26"/>
      <c r="E286" s="26"/>
      <c r="F286" s="26">
        <f>16.8+8</f>
        <v>24.8</v>
      </c>
      <c r="G286" s="111">
        <f t="shared" si="67"/>
        <v>24.8</v>
      </c>
      <c r="H286" s="178" t="e">
        <f t="shared" si="68"/>
        <v>#DIV/0!</v>
      </c>
    </row>
    <row r="287" spans="1:8" ht="42" customHeight="1">
      <c r="A287" s="100"/>
      <c r="B287" s="77" t="s">
        <v>226</v>
      </c>
      <c r="C287" s="75"/>
      <c r="D287" s="26">
        <v>17.3</v>
      </c>
      <c r="E287" s="26"/>
      <c r="F287" s="26">
        <f>22.4+15.6</f>
        <v>38</v>
      </c>
      <c r="G287" s="111">
        <f t="shared" si="67"/>
        <v>38</v>
      </c>
      <c r="H287" s="178" t="e">
        <f t="shared" si="68"/>
        <v>#DIV/0!</v>
      </c>
    </row>
    <row r="288" spans="1:8" ht="42" customHeight="1">
      <c r="A288" s="100"/>
      <c r="B288" s="77" t="s">
        <v>293</v>
      </c>
      <c r="C288" s="75"/>
      <c r="D288" s="26">
        <v>6.2</v>
      </c>
      <c r="E288" s="26"/>
      <c r="F288" s="26"/>
      <c r="G288" s="111">
        <f t="shared" si="67"/>
        <v>0</v>
      </c>
      <c r="H288" s="178" t="e">
        <f t="shared" si="68"/>
        <v>#DIV/0!</v>
      </c>
    </row>
    <row r="289" spans="1:8" ht="24.75" customHeight="1">
      <c r="A289" s="100"/>
      <c r="B289" s="77" t="s">
        <v>237</v>
      </c>
      <c r="C289" s="75"/>
      <c r="D289" s="26">
        <v>23.7</v>
      </c>
      <c r="E289" s="26"/>
      <c r="F289" s="26">
        <f>12.5+0.4</f>
        <v>12.9</v>
      </c>
      <c r="G289" s="111">
        <f t="shared" si="67"/>
        <v>12.9</v>
      </c>
      <c r="H289" s="178" t="e">
        <f t="shared" si="68"/>
        <v>#DIV/0!</v>
      </c>
    </row>
    <row r="290" spans="1:8" ht="24.75" customHeight="1">
      <c r="A290" s="98" t="s">
        <v>461</v>
      </c>
      <c r="B290" s="92" t="s">
        <v>4</v>
      </c>
      <c r="C290" s="107">
        <v>1014</v>
      </c>
      <c r="D290" s="43">
        <v>14</v>
      </c>
      <c r="E290" s="43"/>
      <c r="F290" s="43">
        <v>9.9</v>
      </c>
      <c r="G290" s="175">
        <f t="shared" si="67"/>
        <v>9.9</v>
      </c>
      <c r="H290" s="180" t="e">
        <f t="shared" si="68"/>
        <v>#DIV/0!</v>
      </c>
    </row>
    <row r="291" spans="1:8" ht="24.75" customHeight="1">
      <c r="A291" s="98" t="s">
        <v>462</v>
      </c>
      <c r="B291" s="97" t="s">
        <v>98</v>
      </c>
      <c r="C291" s="107">
        <v>1015</v>
      </c>
      <c r="D291" s="43">
        <f>SUM(D292:D298)</f>
        <v>6.6</v>
      </c>
      <c r="E291" s="43">
        <f>SUM(E292:E298)</f>
        <v>0</v>
      </c>
      <c r="F291" s="43">
        <f>SUM(F292:F301)</f>
        <v>34.699999999999996</v>
      </c>
      <c r="G291" s="175">
        <f t="shared" si="67"/>
        <v>34.699999999999996</v>
      </c>
      <c r="H291" s="180" t="e">
        <f t="shared" si="68"/>
        <v>#DIV/0!</v>
      </c>
    </row>
    <row r="292" spans="1:8" ht="24.75" customHeight="1">
      <c r="A292" s="95"/>
      <c r="B292" s="77" t="s">
        <v>151</v>
      </c>
      <c r="C292" s="87"/>
      <c r="D292" s="26"/>
      <c r="E292" s="26"/>
      <c r="F292" s="26">
        <v>4.3</v>
      </c>
      <c r="G292" s="111">
        <f t="shared" si="67"/>
        <v>4.3</v>
      </c>
      <c r="H292" s="178" t="e">
        <f t="shared" si="68"/>
        <v>#DIV/0!</v>
      </c>
    </row>
    <row r="293" spans="1:8" ht="24.75" customHeight="1">
      <c r="A293" s="95"/>
      <c r="B293" s="77" t="s">
        <v>152</v>
      </c>
      <c r="C293" s="87"/>
      <c r="D293" s="26"/>
      <c r="E293" s="26"/>
      <c r="F293" s="26">
        <v>4.4000000000000004</v>
      </c>
      <c r="G293" s="111">
        <f t="shared" si="67"/>
        <v>4.4000000000000004</v>
      </c>
      <c r="H293" s="178" t="e">
        <f t="shared" si="68"/>
        <v>#DIV/0!</v>
      </c>
    </row>
    <row r="294" spans="1:8" ht="24.75" customHeight="1">
      <c r="A294" s="95"/>
      <c r="B294" s="77" t="s">
        <v>156</v>
      </c>
      <c r="C294" s="75"/>
      <c r="D294" s="26"/>
      <c r="E294" s="26"/>
      <c r="F294" s="26">
        <v>0.6</v>
      </c>
      <c r="G294" s="111">
        <f t="shared" si="67"/>
        <v>0.6</v>
      </c>
      <c r="H294" s="178" t="e">
        <f t="shared" si="68"/>
        <v>#DIV/0!</v>
      </c>
    </row>
    <row r="295" spans="1:8" ht="24.75" customHeight="1">
      <c r="A295" s="95"/>
      <c r="B295" s="77" t="s">
        <v>154</v>
      </c>
      <c r="C295" s="75"/>
      <c r="D295" s="26"/>
      <c r="E295" s="26"/>
      <c r="F295" s="26">
        <v>9.8000000000000007</v>
      </c>
      <c r="G295" s="111">
        <f t="shared" si="67"/>
        <v>9.8000000000000007</v>
      </c>
      <c r="H295" s="178" t="e">
        <f t="shared" si="68"/>
        <v>#DIV/0!</v>
      </c>
    </row>
    <row r="296" spans="1:8" ht="24.75" customHeight="1">
      <c r="A296" s="95"/>
      <c r="B296" s="77" t="s">
        <v>186</v>
      </c>
      <c r="C296" s="75"/>
      <c r="D296" s="26">
        <v>4.8</v>
      </c>
      <c r="E296" s="26"/>
      <c r="F296" s="26">
        <v>2.1</v>
      </c>
      <c r="G296" s="111">
        <f t="shared" si="67"/>
        <v>2.1</v>
      </c>
      <c r="H296" s="178" t="e">
        <f t="shared" si="68"/>
        <v>#DIV/0!</v>
      </c>
    </row>
    <row r="297" spans="1:8" ht="24.75" customHeight="1">
      <c r="A297" s="95"/>
      <c r="B297" s="77" t="s">
        <v>262</v>
      </c>
      <c r="C297" s="75"/>
      <c r="D297" s="26">
        <v>1.8</v>
      </c>
      <c r="E297" s="26"/>
      <c r="F297" s="26"/>
      <c r="G297" s="111">
        <f t="shared" si="67"/>
        <v>0</v>
      </c>
      <c r="H297" s="178" t="e">
        <f t="shared" si="68"/>
        <v>#DIV/0!</v>
      </c>
    </row>
    <row r="298" spans="1:8" ht="24.75" customHeight="1">
      <c r="A298" s="95"/>
      <c r="B298" s="101" t="s">
        <v>242</v>
      </c>
      <c r="C298" s="75"/>
      <c r="D298" s="26"/>
      <c r="E298" s="26"/>
      <c r="F298" s="26">
        <v>6.9</v>
      </c>
      <c r="G298" s="111">
        <f t="shared" si="67"/>
        <v>6.9</v>
      </c>
      <c r="H298" s="178" t="e">
        <f t="shared" si="68"/>
        <v>#DIV/0!</v>
      </c>
    </row>
    <row r="299" spans="1:8" ht="36" customHeight="1">
      <c r="A299" s="95"/>
      <c r="B299" s="77" t="s">
        <v>238</v>
      </c>
      <c r="C299" s="75"/>
      <c r="D299" s="26"/>
      <c r="E299" s="26"/>
      <c r="F299" s="26">
        <v>1.5</v>
      </c>
      <c r="G299" s="111">
        <f t="shared" si="67"/>
        <v>1.5</v>
      </c>
      <c r="H299" s="178" t="e">
        <f t="shared" si="68"/>
        <v>#DIV/0!</v>
      </c>
    </row>
    <row r="300" spans="1:8" ht="36" customHeight="1">
      <c r="A300" s="95"/>
      <c r="B300" s="77" t="s">
        <v>173</v>
      </c>
      <c r="C300" s="75"/>
      <c r="D300" s="26"/>
      <c r="E300" s="26"/>
      <c r="F300" s="26">
        <v>4.3</v>
      </c>
      <c r="G300" s="111">
        <f t="shared" si="67"/>
        <v>4.3</v>
      </c>
      <c r="H300" s="178" t="e">
        <f t="shared" si="68"/>
        <v>#DIV/0!</v>
      </c>
    </row>
    <row r="301" spans="1:8" ht="24.75" customHeight="1">
      <c r="A301" s="95"/>
      <c r="B301" s="101" t="s">
        <v>168</v>
      </c>
      <c r="C301" s="75"/>
      <c r="D301" s="26"/>
      <c r="E301" s="26"/>
      <c r="F301" s="26">
        <v>0.8</v>
      </c>
      <c r="G301" s="111">
        <f t="shared" si="67"/>
        <v>0.8</v>
      </c>
      <c r="H301" s="178" t="e">
        <f t="shared" si="68"/>
        <v>#DIV/0!</v>
      </c>
    </row>
    <row r="302" spans="1:8" ht="24.75" customHeight="1">
      <c r="A302" s="99" t="s">
        <v>463</v>
      </c>
      <c r="B302" s="118" t="s">
        <v>92</v>
      </c>
      <c r="C302" s="119">
        <v>1020</v>
      </c>
      <c r="D302" s="70">
        <f>D303+D306</f>
        <v>19.400000000000002</v>
      </c>
      <c r="E302" s="70">
        <f>E303+E306</f>
        <v>0</v>
      </c>
      <c r="F302" s="70">
        <f>F303+F306</f>
        <v>93.2</v>
      </c>
      <c r="G302" s="172">
        <f t="shared" si="67"/>
        <v>93.2</v>
      </c>
      <c r="H302" s="181" t="e">
        <f t="shared" si="68"/>
        <v>#DIV/0!</v>
      </c>
    </row>
    <row r="303" spans="1:8" ht="24.75" customHeight="1">
      <c r="A303" s="98" t="s">
        <v>464</v>
      </c>
      <c r="B303" s="96" t="s">
        <v>107</v>
      </c>
      <c r="C303" s="107">
        <v>1021</v>
      </c>
      <c r="D303" s="43">
        <f>D304+D305</f>
        <v>6.2</v>
      </c>
      <c r="E303" s="43">
        <f>E304+E305</f>
        <v>0</v>
      </c>
      <c r="F303" s="43">
        <f>F304+F305</f>
        <v>14.5</v>
      </c>
      <c r="G303" s="175">
        <f t="shared" si="67"/>
        <v>14.5</v>
      </c>
      <c r="H303" s="180" t="e">
        <f t="shared" si="68"/>
        <v>#DIV/0!</v>
      </c>
    </row>
    <row r="304" spans="1:8" ht="24.75" customHeight="1">
      <c r="A304" s="95"/>
      <c r="B304" s="101" t="s">
        <v>237</v>
      </c>
      <c r="C304" s="87"/>
      <c r="D304" s="26">
        <v>6</v>
      </c>
      <c r="E304" s="26"/>
      <c r="F304" s="26">
        <f>9.1+5</f>
        <v>14.1</v>
      </c>
      <c r="G304" s="111">
        <f t="shared" si="67"/>
        <v>14.1</v>
      </c>
      <c r="H304" s="178" t="e">
        <f t="shared" si="68"/>
        <v>#DIV/0!</v>
      </c>
    </row>
    <row r="305" spans="1:8" ht="36" customHeight="1">
      <c r="A305" s="95"/>
      <c r="B305" s="101" t="s">
        <v>226</v>
      </c>
      <c r="C305" s="87"/>
      <c r="D305" s="26">
        <v>0.2</v>
      </c>
      <c r="E305" s="26"/>
      <c r="F305" s="26">
        <v>0.4</v>
      </c>
      <c r="G305" s="111">
        <f t="shared" si="67"/>
        <v>0.4</v>
      </c>
      <c r="H305" s="178" t="e">
        <f t="shared" si="68"/>
        <v>#DIV/0!</v>
      </c>
    </row>
    <row r="306" spans="1:8" ht="24.75" customHeight="1">
      <c r="A306" s="98" t="s">
        <v>465</v>
      </c>
      <c r="B306" s="92" t="s">
        <v>181</v>
      </c>
      <c r="C306" s="84">
        <v>1025</v>
      </c>
      <c r="D306" s="43">
        <f>SUM(D307:D315)</f>
        <v>13.200000000000001</v>
      </c>
      <c r="E306" s="43">
        <f>SUM(E307:E315)</f>
        <v>0</v>
      </c>
      <c r="F306" s="43">
        <f>SUM(F307:F315)</f>
        <v>78.7</v>
      </c>
      <c r="G306" s="175">
        <f t="shared" si="67"/>
        <v>78.7</v>
      </c>
      <c r="H306" s="180" t="e">
        <f t="shared" si="68"/>
        <v>#DIV/0!</v>
      </c>
    </row>
    <row r="307" spans="1:8" ht="24.75" customHeight="1">
      <c r="A307" s="95"/>
      <c r="B307" s="86" t="s">
        <v>156</v>
      </c>
      <c r="C307" s="75"/>
      <c r="D307" s="26"/>
      <c r="E307" s="26"/>
      <c r="F307" s="26">
        <v>1.3</v>
      </c>
      <c r="G307" s="111">
        <f t="shared" si="67"/>
        <v>1.3</v>
      </c>
      <c r="H307" s="178" t="e">
        <f t="shared" si="68"/>
        <v>#DIV/0!</v>
      </c>
    </row>
    <row r="308" spans="1:8" ht="24.75" customHeight="1">
      <c r="A308" s="95"/>
      <c r="B308" s="77" t="s">
        <v>170</v>
      </c>
      <c r="C308" s="75"/>
      <c r="D308" s="26">
        <v>9.8000000000000007</v>
      </c>
      <c r="E308" s="26"/>
      <c r="F308" s="26"/>
      <c r="G308" s="111">
        <f t="shared" si="67"/>
        <v>0</v>
      </c>
      <c r="H308" s="178" t="e">
        <f t="shared" si="68"/>
        <v>#DIV/0!</v>
      </c>
    </row>
    <row r="309" spans="1:8" ht="40.5" customHeight="1">
      <c r="A309" s="95"/>
      <c r="B309" s="77" t="s">
        <v>238</v>
      </c>
      <c r="C309" s="78"/>
      <c r="D309" s="26">
        <v>2.8</v>
      </c>
      <c r="E309" s="26"/>
      <c r="F309" s="26">
        <f>8.4+5.5</f>
        <v>13.9</v>
      </c>
      <c r="G309" s="111">
        <f t="shared" si="67"/>
        <v>13.9</v>
      </c>
      <c r="H309" s="178" t="e">
        <f t="shared" si="68"/>
        <v>#DIV/0!</v>
      </c>
    </row>
    <row r="310" spans="1:8" ht="27.75" customHeight="1">
      <c r="A310" s="95"/>
      <c r="B310" s="77" t="s">
        <v>175</v>
      </c>
      <c r="C310" s="78"/>
      <c r="D310" s="26"/>
      <c r="E310" s="26"/>
      <c r="F310" s="26">
        <f>1+1.6</f>
        <v>2.6</v>
      </c>
      <c r="G310" s="111">
        <f t="shared" si="67"/>
        <v>2.6</v>
      </c>
      <c r="H310" s="178" t="e">
        <f t="shared" si="68"/>
        <v>#DIV/0!</v>
      </c>
    </row>
    <row r="311" spans="1:8" ht="24" customHeight="1">
      <c r="A311" s="95"/>
      <c r="B311" s="77" t="s">
        <v>212</v>
      </c>
      <c r="C311" s="78"/>
      <c r="D311" s="26">
        <v>0.4</v>
      </c>
      <c r="E311" s="26"/>
      <c r="F311" s="26">
        <f>0.3+0.2</f>
        <v>0.5</v>
      </c>
      <c r="G311" s="111">
        <f t="shared" si="67"/>
        <v>0.5</v>
      </c>
      <c r="H311" s="178" t="e">
        <f t="shared" si="68"/>
        <v>#DIV/0!</v>
      </c>
    </row>
    <row r="312" spans="1:8" ht="28.5" customHeight="1">
      <c r="A312" s="95"/>
      <c r="B312" s="77" t="s">
        <v>244</v>
      </c>
      <c r="C312" s="78"/>
      <c r="D312" s="26"/>
      <c r="E312" s="26"/>
      <c r="F312" s="26">
        <v>3.3</v>
      </c>
      <c r="G312" s="111">
        <f t="shared" si="67"/>
        <v>3.3</v>
      </c>
      <c r="H312" s="178" t="e">
        <f t="shared" si="68"/>
        <v>#DIV/0!</v>
      </c>
    </row>
    <row r="313" spans="1:8" ht="28.5" customHeight="1">
      <c r="A313" s="95"/>
      <c r="B313" s="77" t="s">
        <v>255</v>
      </c>
      <c r="C313" s="78"/>
      <c r="D313" s="26"/>
      <c r="E313" s="26"/>
      <c r="F313" s="26">
        <f>0.4+0.8+3.8</f>
        <v>5</v>
      </c>
      <c r="G313" s="111">
        <f t="shared" si="67"/>
        <v>5</v>
      </c>
      <c r="H313" s="178" t="e">
        <f t="shared" si="68"/>
        <v>#DIV/0!</v>
      </c>
    </row>
    <row r="314" spans="1:8" ht="28.5" customHeight="1">
      <c r="A314" s="95"/>
      <c r="B314" s="77" t="s">
        <v>264</v>
      </c>
      <c r="C314" s="78"/>
      <c r="D314" s="26">
        <v>0.2</v>
      </c>
      <c r="E314" s="26"/>
      <c r="F314" s="26"/>
      <c r="G314" s="111">
        <f t="shared" si="67"/>
        <v>0</v>
      </c>
      <c r="H314" s="178" t="e">
        <f t="shared" si="68"/>
        <v>#DIV/0!</v>
      </c>
    </row>
    <row r="315" spans="1:8" ht="22.5" customHeight="1">
      <c r="A315" s="95"/>
      <c r="B315" s="77" t="s">
        <v>243</v>
      </c>
      <c r="C315" s="78"/>
      <c r="D315" s="26"/>
      <c r="E315" s="26"/>
      <c r="F315" s="26">
        <v>52.1</v>
      </c>
      <c r="G315" s="111">
        <f t="shared" si="67"/>
        <v>52.1</v>
      </c>
      <c r="H315" s="178" t="e">
        <f t="shared" si="68"/>
        <v>#DIV/0!</v>
      </c>
    </row>
    <row r="316" spans="1:8" ht="22.5" customHeight="1">
      <c r="A316" s="95" t="s">
        <v>381</v>
      </c>
      <c r="B316" s="226" t="s">
        <v>382</v>
      </c>
      <c r="C316" s="78"/>
      <c r="D316" s="26"/>
      <c r="E316" s="26"/>
      <c r="F316" s="24">
        <f>F318</f>
        <v>1.8</v>
      </c>
      <c r="G316" s="110">
        <f t="shared" si="67"/>
        <v>1.8</v>
      </c>
      <c r="H316" s="178" t="e">
        <f t="shared" si="68"/>
        <v>#DIV/0!</v>
      </c>
    </row>
    <row r="317" spans="1:8" ht="28.5" customHeight="1">
      <c r="A317" s="128"/>
      <c r="B317" s="96" t="s">
        <v>86</v>
      </c>
      <c r="C317" s="88"/>
      <c r="D317" s="26"/>
      <c r="E317" s="26"/>
      <c r="F317" s="26"/>
      <c r="G317" s="110">
        <f t="shared" si="67"/>
        <v>0</v>
      </c>
      <c r="H317" s="178" t="e">
        <f t="shared" si="68"/>
        <v>#DIV/0!</v>
      </c>
    </row>
    <row r="318" spans="1:8" ht="24.75" customHeight="1">
      <c r="A318" s="99" t="s">
        <v>466</v>
      </c>
      <c r="B318" s="171" t="s">
        <v>90</v>
      </c>
      <c r="C318" s="119">
        <v>1010</v>
      </c>
      <c r="D318" s="70"/>
      <c r="E318" s="70"/>
      <c r="F318" s="70">
        <f>F319</f>
        <v>1.8</v>
      </c>
      <c r="G318" s="172">
        <f t="shared" si="67"/>
        <v>1.8</v>
      </c>
      <c r="H318" s="181" t="e">
        <f t="shared" si="68"/>
        <v>#DIV/0!</v>
      </c>
    </row>
    <row r="319" spans="1:8" ht="25.5" customHeight="1">
      <c r="A319" s="76" t="s">
        <v>467</v>
      </c>
      <c r="B319" s="92" t="s">
        <v>107</v>
      </c>
      <c r="C319" s="84">
        <v>1015</v>
      </c>
      <c r="D319" s="43"/>
      <c r="E319" s="43"/>
      <c r="F319" s="43">
        <f>F320</f>
        <v>1.8</v>
      </c>
      <c r="G319" s="175">
        <f t="shared" si="67"/>
        <v>1.8</v>
      </c>
      <c r="H319" s="180" t="e">
        <f t="shared" si="68"/>
        <v>#DIV/0!</v>
      </c>
    </row>
    <row r="320" spans="1:8" ht="27.75" customHeight="1">
      <c r="A320" s="74"/>
      <c r="B320" s="86" t="s">
        <v>287</v>
      </c>
      <c r="C320" s="75"/>
      <c r="D320" s="26"/>
      <c r="E320" s="26"/>
      <c r="F320" s="26">
        <v>1.8</v>
      </c>
      <c r="G320" s="111">
        <f t="shared" si="67"/>
        <v>1.8</v>
      </c>
      <c r="H320" s="178" t="e">
        <f t="shared" si="68"/>
        <v>#DIV/0!</v>
      </c>
    </row>
    <row r="321" spans="1:9" ht="27.75" customHeight="1">
      <c r="A321" s="95" t="s">
        <v>398</v>
      </c>
      <c r="B321" s="193" t="s">
        <v>266</v>
      </c>
      <c r="C321" s="87"/>
      <c r="D321" s="24">
        <f>D323</f>
        <v>5.3</v>
      </c>
      <c r="E321" s="26"/>
      <c r="F321" s="26"/>
      <c r="G321" s="110">
        <f t="shared" si="67"/>
        <v>0</v>
      </c>
      <c r="H321" s="178" t="e">
        <f t="shared" si="68"/>
        <v>#DIV/0!</v>
      </c>
    </row>
    <row r="322" spans="1:9" ht="28.5" customHeight="1">
      <c r="A322" s="95"/>
      <c r="B322" s="96" t="s">
        <v>86</v>
      </c>
      <c r="C322" s="87"/>
      <c r="D322" s="24"/>
      <c r="E322" s="26"/>
      <c r="F322" s="26"/>
      <c r="G322" s="110"/>
      <c r="H322" s="178"/>
    </row>
    <row r="323" spans="1:9" ht="22.5" customHeight="1">
      <c r="A323" s="99" t="s">
        <v>468</v>
      </c>
      <c r="B323" s="118" t="s">
        <v>93</v>
      </c>
      <c r="C323" s="119">
        <v>1030</v>
      </c>
      <c r="D323" s="70">
        <f>D324</f>
        <v>5.3</v>
      </c>
      <c r="E323" s="70"/>
      <c r="F323" s="70"/>
      <c r="G323" s="172">
        <f t="shared" si="67"/>
        <v>0</v>
      </c>
      <c r="H323" s="181" t="e">
        <f t="shared" si="68"/>
        <v>#DIV/0!</v>
      </c>
    </row>
    <row r="324" spans="1:9" ht="27" customHeight="1">
      <c r="A324" s="98" t="s">
        <v>399</v>
      </c>
      <c r="B324" s="96" t="s">
        <v>93</v>
      </c>
      <c r="C324" s="84">
        <v>1035</v>
      </c>
      <c r="D324" s="43">
        <f>D325</f>
        <v>5.3</v>
      </c>
      <c r="E324" s="43"/>
      <c r="F324" s="43"/>
      <c r="G324" s="172">
        <f t="shared" si="67"/>
        <v>0</v>
      </c>
      <c r="H324" s="181" t="e">
        <f t="shared" si="68"/>
        <v>#DIV/0!</v>
      </c>
    </row>
    <row r="325" spans="1:9" ht="22.5" customHeight="1">
      <c r="A325" s="120"/>
      <c r="B325" s="101" t="s">
        <v>268</v>
      </c>
      <c r="C325" s="128"/>
      <c r="D325" s="26">
        <v>5.3</v>
      </c>
      <c r="E325" s="26"/>
      <c r="F325" s="26"/>
      <c r="G325" s="110">
        <f t="shared" si="67"/>
        <v>0</v>
      </c>
      <c r="H325" s="178" t="e">
        <f t="shared" si="68"/>
        <v>#DIV/0!</v>
      </c>
    </row>
    <row r="326" spans="1:9" ht="47.25" customHeight="1">
      <c r="A326" s="11" t="s">
        <v>469</v>
      </c>
      <c r="B326" s="201" t="s">
        <v>246</v>
      </c>
      <c r="C326" s="223"/>
      <c r="D326" s="24">
        <f>D328+D331</f>
        <v>1118.8</v>
      </c>
      <c r="E326" s="24">
        <f>E328+E331</f>
        <v>0</v>
      </c>
      <c r="F326" s="24">
        <f>F328+F331</f>
        <v>1324.8</v>
      </c>
      <c r="G326" s="110">
        <f t="shared" si="67"/>
        <v>1324.8</v>
      </c>
      <c r="H326" s="178" t="e">
        <f t="shared" si="68"/>
        <v>#DIV/0!</v>
      </c>
    </row>
    <row r="327" spans="1:9" ht="24.75" customHeight="1">
      <c r="A327" s="95"/>
      <c r="B327" s="96" t="s">
        <v>86</v>
      </c>
      <c r="C327" s="75"/>
      <c r="D327" s="26"/>
      <c r="E327" s="26"/>
      <c r="F327" s="26"/>
      <c r="G327" s="110">
        <f t="shared" si="67"/>
        <v>0</v>
      </c>
      <c r="H327" s="178" t="e">
        <f t="shared" si="68"/>
        <v>#DIV/0!</v>
      </c>
    </row>
    <row r="328" spans="1:9" ht="24.75" customHeight="1">
      <c r="A328" s="99" t="s">
        <v>470</v>
      </c>
      <c r="B328" s="171" t="s">
        <v>90</v>
      </c>
      <c r="C328" s="174">
        <v>1010</v>
      </c>
      <c r="D328" s="70">
        <f t="shared" ref="D328:F329" si="69">D329</f>
        <v>772.5</v>
      </c>
      <c r="E328" s="70">
        <f t="shared" si="69"/>
        <v>0</v>
      </c>
      <c r="F328" s="70">
        <f t="shared" si="69"/>
        <v>669.4</v>
      </c>
      <c r="G328" s="172">
        <f t="shared" ref="G328:G332" si="70">F328-E328</f>
        <v>669.4</v>
      </c>
      <c r="H328" s="181" t="e">
        <f t="shared" ref="H328:H332" si="71">(F328/E328)*100</f>
        <v>#DIV/0!</v>
      </c>
      <c r="I328" s="134"/>
    </row>
    <row r="329" spans="1:9" ht="29.25" customHeight="1">
      <c r="A329" s="98" t="s">
        <v>471</v>
      </c>
      <c r="B329" s="97" t="s">
        <v>4</v>
      </c>
      <c r="C329" s="84">
        <v>1014</v>
      </c>
      <c r="D329" s="43">
        <f t="shared" si="69"/>
        <v>772.5</v>
      </c>
      <c r="E329" s="43">
        <f t="shared" si="69"/>
        <v>0</v>
      </c>
      <c r="F329" s="43">
        <f t="shared" si="69"/>
        <v>669.4</v>
      </c>
      <c r="G329" s="175">
        <f t="shared" si="70"/>
        <v>669.4</v>
      </c>
      <c r="H329" s="180" t="e">
        <f t="shared" si="71"/>
        <v>#DIV/0!</v>
      </c>
    </row>
    <row r="330" spans="1:9" ht="24.75" customHeight="1">
      <c r="A330" s="95"/>
      <c r="B330" s="101" t="s">
        <v>247</v>
      </c>
      <c r="C330" s="75"/>
      <c r="D330" s="26">
        <v>772.5</v>
      </c>
      <c r="E330" s="26"/>
      <c r="F330" s="26">
        <v>669.4</v>
      </c>
      <c r="G330" s="111">
        <f t="shared" si="70"/>
        <v>669.4</v>
      </c>
      <c r="H330" s="178" t="e">
        <f t="shared" si="71"/>
        <v>#DIV/0!</v>
      </c>
    </row>
    <row r="331" spans="1:9" ht="29.25" customHeight="1">
      <c r="A331" s="99" t="s">
        <v>472</v>
      </c>
      <c r="B331" s="171" t="s">
        <v>92</v>
      </c>
      <c r="C331" s="174">
        <v>1020</v>
      </c>
      <c r="D331" s="70">
        <f>D332</f>
        <v>346.3</v>
      </c>
      <c r="E331" s="70"/>
      <c r="F331" s="70">
        <f>F332</f>
        <v>655.4</v>
      </c>
      <c r="G331" s="172">
        <f t="shared" si="70"/>
        <v>655.4</v>
      </c>
      <c r="H331" s="181" t="e">
        <f t="shared" si="71"/>
        <v>#DIV/0!</v>
      </c>
    </row>
    <row r="332" spans="1:9" ht="31.5" customHeight="1">
      <c r="A332" s="98" t="s">
        <v>473</v>
      </c>
      <c r="B332" s="97" t="s">
        <v>4</v>
      </c>
      <c r="C332" s="84">
        <v>1024</v>
      </c>
      <c r="D332" s="43">
        <v>346.3</v>
      </c>
      <c r="E332" s="43"/>
      <c r="F332" s="43">
        <v>655.4</v>
      </c>
      <c r="G332" s="175">
        <f t="shared" si="70"/>
        <v>655.4</v>
      </c>
      <c r="H332" s="180" t="e">
        <f t="shared" si="71"/>
        <v>#DIV/0!</v>
      </c>
    </row>
    <row r="333" spans="1:9" ht="44.25" customHeight="1">
      <c r="B333" s="112"/>
      <c r="D333" s="189"/>
      <c r="E333" s="113"/>
      <c r="F333" s="113"/>
    </row>
    <row r="334" spans="1:9" ht="34.5" customHeight="1">
      <c r="B334" s="186" t="s">
        <v>402</v>
      </c>
      <c r="C334" s="32"/>
      <c r="D334" s="255"/>
      <c r="E334" s="255"/>
      <c r="F334" s="244" t="s">
        <v>213</v>
      </c>
      <c r="G334" s="244"/>
      <c r="H334" s="244"/>
    </row>
    <row r="335" spans="1:9" ht="22.5" customHeight="1">
      <c r="B335" s="191" t="s">
        <v>60</v>
      </c>
      <c r="C335" s="33"/>
      <c r="D335" s="248" t="s">
        <v>66</v>
      </c>
      <c r="E335" s="248"/>
      <c r="F335" s="245" t="s">
        <v>17</v>
      </c>
      <c r="G335" s="245"/>
      <c r="H335" s="245"/>
    </row>
    <row r="336" spans="1:9" ht="29.25" customHeight="1">
      <c r="B336" s="112"/>
      <c r="D336" s="189"/>
      <c r="E336" s="113"/>
      <c r="F336" s="113"/>
    </row>
    <row r="337" spans="1:17" ht="35.25" customHeight="1">
      <c r="B337" s="112"/>
      <c r="D337" s="189"/>
      <c r="E337" s="113"/>
      <c r="F337" s="113"/>
    </row>
    <row r="338" spans="1:17" ht="35.25" customHeight="1">
      <c r="B338" s="112"/>
      <c r="D338" s="189"/>
      <c r="E338" s="113"/>
      <c r="F338" s="113"/>
    </row>
    <row r="339" spans="1:17" s="114" customFormat="1" ht="39" customHeight="1">
      <c r="A339" s="33"/>
      <c r="B339" s="112"/>
      <c r="C339" s="191"/>
      <c r="D339" s="189"/>
      <c r="E339" s="113"/>
      <c r="F339" s="113"/>
      <c r="G339" s="33"/>
      <c r="H339" s="33"/>
      <c r="O339" s="131"/>
      <c r="P339" s="131"/>
      <c r="Q339" s="131"/>
    </row>
    <row r="340" spans="1:17" s="114" customFormat="1" ht="32.25" customHeight="1">
      <c r="A340" s="33"/>
      <c r="B340" s="112"/>
      <c r="C340" s="191"/>
      <c r="D340" s="189"/>
      <c r="E340" s="113"/>
      <c r="F340" s="113"/>
      <c r="G340" s="33"/>
      <c r="H340" s="33"/>
      <c r="O340" s="131"/>
      <c r="P340" s="131"/>
      <c r="Q340" s="131"/>
    </row>
    <row r="341" spans="1:17" s="114" customFormat="1" ht="31.5" customHeight="1">
      <c r="A341" s="33"/>
      <c r="B341" s="112"/>
      <c r="C341" s="191"/>
      <c r="D341" s="189"/>
      <c r="E341" s="113"/>
      <c r="F341" s="113"/>
      <c r="G341" s="33"/>
      <c r="H341" s="33"/>
      <c r="O341" s="131"/>
      <c r="P341" s="131"/>
      <c r="Q341" s="131"/>
    </row>
    <row r="342" spans="1:17" s="114" customFormat="1" ht="31.5" customHeight="1">
      <c r="A342" s="33"/>
      <c r="B342" s="112"/>
      <c r="C342" s="191"/>
      <c r="D342" s="189"/>
      <c r="E342" s="113"/>
      <c r="F342" s="113"/>
      <c r="G342" s="33"/>
      <c r="H342" s="33"/>
      <c r="O342" s="131"/>
      <c r="P342" s="131"/>
      <c r="Q342" s="131"/>
    </row>
    <row r="343" spans="1:17" s="114" customFormat="1" ht="29.25" customHeight="1">
      <c r="A343" s="33"/>
      <c r="B343" s="112"/>
      <c r="C343" s="191"/>
      <c r="D343" s="189"/>
      <c r="E343" s="113"/>
      <c r="F343" s="113"/>
      <c r="G343" s="33"/>
      <c r="H343" s="33"/>
      <c r="O343" s="131"/>
      <c r="P343" s="131"/>
      <c r="Q343" s="131"/>
    </row>
    <row r="344" spans="1:17" s="114" customFormat="1" ht="35.25" customHeight="1">
      <c r="A344" s="33"/>
      <c r="B344" s="112"/>
      <c r="C344" s="191"/>
      <c r="D344" s="189"/>
      <c r="E344" s="113"/>
      <c r="F344" s="113"/>
      <c r="G344" s="33"/>
      <c r="H344" s="33"/>
      <c r="O344" s="131"/>
      <c r="P344" s="131"/>
      <c r="Q344" s="131"/>
    </row>
    <row r="345" spans="1:17" s="114" customFormat="1" ht="41.25" customHeight="1">
      <c r="A345" s="33"/>
      <c r="B345" s="112"/>
      <c r="C345" s="191"/>
      <c r="D345" s="189"/>
      <c r="E345" s="113"/>
      <c r="F345" s="113"/>
      <c r="G345" s="33"/>
      <c r="H345" s="33"/>
      <c r="O345" s="131"/>
      <c r="P345" s="131"/>
      <c r="Q345" s="131"/>
    </row>
    <row r="346" spans="1:17" s="114" customFormat="1" ht="35.25" customHeight="1">
      <c r="A346" s="33"/>
      <c r="B346" s="112"/>
      <c r="C346" s="191"/>
      <c r="D346" s="189"/>
      <c r="E346" s="113"/>
      <c r="F346" s="113"/>
      <c r="G346" s="33"/>
      <c r="H346" s="33"/>
      <c r="O346" s="131"/>
      <c r="P346" s="131"/>
      <c r="Q346" s="131"/>
    </row>
    <row r="347" spans="1:17" s="114" customFormat="1" ht="41.25" customHeight="1">
      <c r="A347" s="33"/>
      <c r="B347" s="112"/>
      <c r="C347" s="191"/>
      <c r="D347" s="189"/>
      <c r="E347" s="113"/>
      <c r="F347" s="113"/>
      <c r="G347" s="33"/>
      <c r="H347" s="33"/>
      <c r="O347" s="131"/>
      <c r="P347" s="131"/>
      <c r="Q347" s="131"/>
    </row>
    <row r="348" spans="1:17" s="114" customFormat="1" ht="37.5" customHeight="1">
      <c r="A348" s="33"/>
      <c r="B348" s="112"/>
      <c r="C348" s="191"/>
      <c r="D348" s="189"/>
      <c r="E348" s="113"/>
      <c r="F348" s="113"/>
      <c r="G348" s="33"/>
      <c r="H348" s="33"/>
      <c r="O348" s="131"/>
      <c r="P348" s="131"/>
      <c r="Q348" s="131"/>
    </row>
    <row r="349" spans="1:17" s="114" customFormat="1" ht="37.5" customHeight="1">
      <c r="A349" s="33"/>
      <c r="B349" s="112"/>
      <c r="C349" s="191"/>
      <c r="D349" s="189"/>
      <c r="E349" s="113"/>
      <c r="F349" s="113"/>
      <c r="G349" s="33"/>
      <c r="H349" s="33"/>
      <c r="O349" s="131"/>
      <c r="P349" s="131"/>
      <c r="Q349" s="131"/>
    </row>
    <row r="350" spans="1:17" s="114" customFormat="1" ht="39" customHeight="1">
      <c r="A350" s="33"/>
      <c r="B350" s="112"/>
      <c r="C350" s="191"/>
      <c r="D350" s="189"/>
      <c r="E350" s="113"/>
      <c r="F350" s="113"/>
      <c r="G350" s="33"/>
      <c r="H350" s="33"/>
      <c r="O350" s="131"/>
      <c r="P350" s="131"/>
      <c r="Q350" s="131"/>
    </row>
    <row r="351" spans="1:17" s="114" customFormat="1" ht="35.25" customHeight="1">
      <c r="A351" s="33"/>
      <c r="B351" s="112"/>
      <c r="C351" s="191"/>
      <c r="D351" s="189"/>
      <c r="E351" s="113"/>
      <c r="F351" s="113"/>
      <c r="G351" s="33"/>
      <c r="H351" s="33"/>
      <c r="O351" s="131"/>
      <c r="P351" s="131"/>
      <c r="Q351" s="131"/>
    </row>
    <row r="352" spans="1:17" s="114" customFormat="1" ht="37.5" customHeight="1">
      <c r="A352" s="33"/>
      <c r="B352" s="112"/>
      <c r="C352" s="191"/>
      <c r="D352" s="189"/>
      <c r="E352" s="113"/>
      <c r="F352" s="113"/>
      <c r="G352" s="33"/>
      <c r="H352" s="33"/>
      <c r="O352" s="131"/>
      <c r="P352" s="131"/>
      <c r="Q352" s="131"/>
    </row>
    <row r="353" spans="1:17" s="114" customFormat="1" ht="31.5" customHeight="1">
      <c r="A353" s="33"/>
      <c r="B353" s="112"/>
      <c r="C353" s="191"/>
      <c r="D353" s="189"/>
      <c r="E353" s="113"/>
      <c r="F353" s="113"/>
      <c r="G353" s="33"/>
      <c r="H353" s="33"/>
      <c r="O353" s="131"/>
      <c r="P353" s="131"/>
      <c r="Q353" s="131"/>
    </row>
    <row r="354" spans="1:17" s="114" customFormat="1" ht="31.5" customHeight="1">
      <c r="A354" s="33"/>
      <c r="B354" s="112"/>
      <c r="C354" s="191"/>
      <c r="D354" s="189"/>
      <c r="E354" s="113"/>
      <c r="F354" s="113"/>
      <c r="G354" s="33"/>
      <c r="H354" s="33"/>
      <c r="O354" s="131"/>
      <c r="P354" s="131"/>
      <c r="Q354" s="131"/>
    </row>
    <row r="355" spans="1:17">
      <c r="B355" s="112"/>
      <c r="D355" s="189"/>
      <c r="E355" s="113"/>
      <c r="F355" s="113"/>
    </row>
    <row r="356" spans="1:17" ht="24.75" customHeight="1">
      <c r="B356" s="112"/>
      <c r="D356" s="189"/>
      <c r="E356" s="113"/>
      <c r="F356" s="113"/>
    </row>
    <row r="357" spans="1:17">
      <c r="B357" s="112"/>
      <c r="D357" s="189"/>
      <c r="E357" s="113"/>
      <c r="F357" s="113"/>
    </row>
    <row r="358" spans="1:17">
      <c r="B358" s="112"/>
      <c r="D358" s="189"/>
      <c r="E358" s="113"/>
      <c r="F358" s="113"/>
    </row>
    <row r="359" spans="1:17">
      <c r="B359" s="112"/>
      <c r="D359" s="189"/>
      <c r="E359" s="113"/>
      <c r="F359" s="113"/>
    </row>
    <row r="360" spans="1:17">
      <c r="B360" s="112"/>
      <c r="D360" s="189"/>
      <c r="E360" s="113"/>
      <c r="F360" s="113"/>
    </row>
    <row r="361" spans="1:17">
      <c r="B361" s="112"/>
      <c r="D361" s="189"/>
      <c r="E361" s="113"/>
      <c r="F361" s="113"/>
    </row>
    <row r="362" spans="1:17">
      <c r="B362" s="112"/>
      <c r="D362" s="189"/>
      <c r="E362" s="113"/>
      <c r="F362" s="113"/>
    </row>
    <row r="363" spans="1:17">
      <c r="B363" s="112"/>
      <c r="D363" s="189"/>
      <c r="E363" s="113"/>
      <c r="F363" s="113"/>
    </row>
    <row r="364" spans="1:17">
      <c r="B364" s="112"/>
      <c r="D364" s="189"/>
      <c r="E364" s="113"/>
      <c r="F364" s="113"/>
    </row>
    <row r="365" spans="1:17">
      <c r="B365" s="112"/>
      <c r="D365" s="189"/>
      <c r="E365" s="113"/>
      <c r="F365" s="113"/>
    </row>
    <row r="366" spans="1:17">
      <c r="B366" s="112"/>
      <c r="D366" s="189"/>
      <c r="E366" s="113"/>
      <c r="F366" s="113"/>
    </row>
    <row r="367" spans="1:17">
      <c r="B367" s="112"/>
      <c r="D367" s="189"/>
      <c r="E367" s="113"/>
      <c r="F367" s="113"/>
    </row>
    <row r="368" spans="1:17">
      <c r="B368" s="112"/>
      <c r="D368" s="189"/>
      <c r="E368" s="113"/>
      <c r="F368" s="113"/>
    </row>
    <row r="369" spans="2:6">
      <c r="B369" s="112"/>
      <c r="D369" s="189"/>
      <c r="E369" s="113"/>
      <c r="F369" s="113"/>
    </row>
    <row r="370" spans="2:6">
      <c r="B370" s="112"/>
      <c r="D370" s="189"/>
      <c r="E370" s="113"/>
      <c r="F370" s="113"/>
    </row>
    <row r="371" spans="2:6">
      <c r="B371" s="112"/>
      <c r="D371" s="189"/>
      <c r="E371" s="113"/>
      <c r="F371" s="113"/>
    </row>
    <row r="372" spans="2:6">
      <c r="B372" s="112"/>
      <c r="D372" s="189"/>
      <c r="E372" s="113"/>
      <c r="F372" s="113"/>
    </row>
    <row r="373" spans="2:6">
      <c r="B373" s="112"/>
      <c r="D373" s="189"/>
      <c r="E373" s="113"/>
      <c r="F373" s="113"/>
    </row>
    <row r="374" spans="2:6">
      <c r="B374" s="112"/>
      <c r="D374" s="189"/>
      <c r="E374" s="113"/>
      <c r="F374" s="113"/>
    </row>
    <row r="375" spans="2:6">
      <c r="B375" s="112"/>
      <c r="D375" s="189"/>
      <c r="E375" s="113"/>
      <c r="F375" s="113"/>
    </row>
    <row r="376" spans="2:6">
      <c r="B376" s="112"/>
      <c r="D376" s="189"/>
      <c r="E376" s="113"/>
      <c r="F376" s="113"/>
    </row>
    <row r="377" spans="2:6">
      <c r="B377" s="112"/>
      <c r="D377" s="189"/>
      <c r="E377" s="113"/>
      <c r="F377" s="113"/>
    </row>
    <row r="378" spans="2:6">
      <c r="B378" s="112"/>
      <c r="D378" s="189"/>
      <c r="E378" s="113"/>
      <c r="F378" s="113"/>
    </row>
    <row r="379" spans="2:6">
      <c r="B379" s="112"/>
      <c r="D379" s="189"/>
      <c r="E379" s="113"/>
      <c r="F379" s="113"/>
    </row>
    <row r="380" spans="2:6">
      <c r="B380" s="112"/>
      <c r="D380" s="189"/>
      <c r="E380" s="113"/>
      <c r="F380" s="113"/>
    </row>
    <row r="381" spans="2:6">
      <c r="B381" s="112"/>
      <c r="D381" s="189"/>
      <c r="E381" s="113"/>
      <c r="F381" s="113"/>
    </row>
    <row r="382" spans="2:6">
      <c r="B382" s="112"/>
      <c r="D382" s="189"/>
      <c r="E382" s="113"/>
      <c r="F382" s="113"/>
    </row>
    <row r="383" spans="2:6">
      <c r="B383" s="112"/>
      <c r="D383" s="189"/>
      <c r="E383" s="113"/>
      <c r="F383" s="113"/>
    </row>
    <row r="384" spans="2:6">
      <c r="B384" s="112"/>
      <c r="D384" s="189"/>
      <c r="E384" s="113"/>
      <c r="F384" s="113"/>
    </row>
    <row r="385" spans="2:6">
      <c r="B385" s="112"/>
      <c r="D385" s="189"/>
      <c r="E385" s="113"/>
      <c r="F385" s="113"/>
    </row>
    <row r="386" spans="2:6">
      <c r="B386" s="112"/>
      <c r="D386" s="189"/>
      <c r="E386" s="113"/>
      <c r="F386" s="113"/>
    </row>
    <row r="387" spans="2:6">
      <c r="B387" s="112"/>
      <c r="D387" s="189"/>
      <c r="E387" s="113"/>
      <c r="F387" s="113"/>
    </row>
    <row r="388" spans="2:6">
      <c r="B388" s="112"/>
      <c r="D388" s="189"/>
      <c r="E388" s="113"/>
      <c r="F388" s="113"/>
    </row>
    <row r="389" spans="2:6">
      <c r="B389" s="112"/>
      <c r="D389" s="189"/>
      <c r="E389" s="113"/>
      <c r="F389" s="113"/>
    </row>
    <row r="390" spans="2:6">
      <c r="B390" s="112"/>
    </row>
    <row r="391" spans="2:6">
      <c r="B391" s="132"/>
    </row>
    <row r="392" spans="2:6">
      <c r="B392" s="132"/>
    </row>
    <row r="393" spans="2:6">
      <c r="B393" s="132"/>
    </row>
    <row r="394" spans="2:6">
      <c r="B394" s="132"/>
    </row>
    <row r="395" spans="2:6">
      <c r="B395" s="132"/>
    </row>
    <row r="396" spans="2:6">
      <c r="B396" s="132"/>
    </row>
    <row r="397" spans="2:6">
      <c r="B397" s="132"/>
    </row>
    <row r="398" spans="2:6">
      <c r="B398" s="132"/>
    </row>
    <row r="399" spans="2:6">
      <c r="B399" s="132"/>
    </row>
    <row r="400" spans="2:6">
      <c r="B400" s="132"/>
    </row>
    <row r="401" spans="2:2">
      <c r="B401" s="132"/>
    </row>
    <row r="402" spans="2:2">
      <c r="B402" s="132"/>
    </row>
    <row r="403" spans="2:2">
      <c r="B403" s="132"/>
    </row>
    <row r="404" spans="2:2">
      <c r="B404" s="132"/>
    </row>
    <row r="405" spans="2:2">
      <c r="B405" s="132"/>
    </row>
    <row r="406" spans="2:2">
      <c r="B406" s="132"/>
    </row>
    <row r="407" spans="2:2">
      <c r="B407" s="132"/>
    </row>
    <row r="408" spans="2:2">
      <c r="B408" s="132"/>
    </row>
    <row r="409" spans="2:2">
      <c r="B409" s="132"/>
    </row>
    <row r="410" spans="2:2">
      <c r="B410" s="132"/>
    </row>
    <row r="411" spans="2:2">
      <c r="B411" s="132"/>
    </row>
    <row r="412" spans="2:2">
      <c r="B412" s="132"/>
    </row>
    <row r="413" spans="2:2">
      <c r="B413" s="132"/>
    </row>
    <row r="414" spans="2:2">
      <c r="B414" s="132"/>
    </row>
    <row r="415" spans="2:2">
      <c r="B415" s="132"/>
    </row>
    <row r="416" spans="2:2">
      <c r="B416" s="132"/>
    </row>
    <row r="417" spans="2:2">
      <c r="B417" s="132"/>
    </row>
    <row r="418" spans="2:2">
      <c r="B418" s="132"/>
    </row>
    <row r="419" spans="2:2">
      <c r="B419" s="132"/>
    </row>
    <row r="420" spans="2:2">
      <c r="B420" s="132"/>
    </row>
    <row r="421" spans="2:2">
      <c r="B421" s="132"/>
    </row>
    <row r="422" spans="2:2">
      <c r="B422" s="132"/>
    </row>
    <row r="423" spans="2:2">
      <c r="B423" s="132"/>
    </row>
    <row r="424" spans="2:2">
      <c r="B424" s="132"/>
    </row>
    <row r="425" spans="2:2">
      <c r="B425" s="132"/>
    </row>
    <row r="426" spans="2:2">
      <c r="B426" s="132"/>
    </row>
    <row r="427" spans="2:2">
      <c r="B427" s="132"/>
    </row>
    <row r="428" spans="2:2">
      <c r="B428" s="132"/>
    </row>
    <row r="429" spans="2:2">
      <c r="B429" s="132"/>
    </row>
    <row r="430" spans="2:2">
      <c r="B430" s="132"/>
    </row>
    <row r="431" spans="2:2">
      <c r="B431" s="132"/>
    </row>
    <row r="432" spans="2:2">
      <c r="B432" s="132"/>
    </row>
    <row r="433" spans="2:2">
      <c r="B433" s="132"/>
    </row>
    <row r="434" spans="2:2">
      <c r="B434" s="132"/>
    </row>
    <row r="435" spans="2:2">
      <c r="B435" s="132"/>
    </row>
    <row r="436" spans="2:2">
      <c r="B436" s="132"/>
    </row>
    <row r="437" spans="2:2">
      <c r="B437" s="132"/>
    </row>
    <row r="438" spans="2:2">
      <c r="B438" s="132"/>
    </row>
    <row r="439" spans="2:2">
      <c r="B439" s="132"/>
    </row>
    <row r="440" spans="2:2">
      <c r="B440" s="132"/>
    </row>
    <row r="441" spans="2:2">
      <c r="B441" s="132"/>
    </row>
    <row r="442" spans="2:2">
      <c r="B442" s="132"/>
    </row>
    <row r="443" spans="2:2">
      <c r="B443" s="132"/>
    </row>
    <row r="444" spans="2:2">
      <c r="B444" s="132"/>
    </row>
    <row r="445" spans="2:2">
      <c r="B445" s="132"/>
    </row>
    <row r="446" spans="2:2">
      <c r="B446" s="132"/>
    </row>
    <row r="447" spans="2:2">
      <c r="B447" s="132"/>
    </row>
    <row r="448" spans="2:2">
      <c r="B448" s="132"/>
    </row>
    <row r="449" spans="2:2">
      <c r="B449" s="132"/>
    </row>
    <row r="450" spans="2:2">
      <c r="B450" s="132"/>
    </row>
    <row r="451" spans="2:2">
      <c r="B451" s="132"/>
    </row>
    <row r="452" spans="2:2">
      <c r="B452" s="132"/>
    </row>
    <row r="453" spans="2:2">
      <c r="B453" s="132"/>
    </row>
    <row r="454" spans="2:2">
      <c r="B454" s="132"/>
    </row>
    <row r="455" spans="2:2">
      <c r="B455" s="132"/>
    </row>
    <row r="456" spans="2:2">
      <c r="B456" s="132"/>
    </row>
    <row r="457" spans="2:2">
      <c r="B457" s="132"/>
    </row>
    <row r="458" spans="2:2">
      <c r="B458" s="132"/>
    </row>
    <row r="459" spans="2:2">
      <c r="B459" s="132"/>
    </row>
    <row r="460" spans="2:2">
      <c r="B460" s="132"/>
    </row>
    <row r="461" spans="2:2">
      <c r="B461" s="132"/>
    </row>
    <row r="462" spans="2:2">
      <c r="B462" s="132"/>
    </row>
    <row r="463" spans="2:2">
      <c r="B463" s="132"/>
    </row>
    <row r="464" spans="2:2">
      <c r="B464" s="132"/>
    </row>
    <row r="465" spans="2:2">
      <c r="B465" s="132"/>
    </row>
    <row r="466" spans="2:2">
      <c r="B466" s="132"/>
    </row>
    <row r="467" spans="2:2">
      <c r="B467" s="132"/>
    </row>
    <row r="468" spans="2:2">
      <c r="B468" s="132"/>
    </row>
    <row r="469" spans="2:2">
      <c r="B469" s="132"/>
    </row>
    <row r="470" spans="2:2">
      <c r="B470" s="132"/>
    </row>
    <row r="471" spans="2:2">
      <c r="B471" s="132"/>
    </row>
    <row r="472" spans="2:2">
      <c r="B472" s="132"/>
    </row>
    <row r="473" spans="2:2">
      <c r="B473" s="132"/>
    </row>
    <row r="474" spans="2:2">
      <c r="B474" s="132"/>
    </row>
    <row r="475" spans="2:2">
      <c r="B475" s="132"/>
    </row>
    <row r="476" spans="2:2">
      <c r="B476" s="132"/>
    </row>
    <row r="477" spans="2:2">
      <c r="B477" s="132"/>
    </row>
    <row r="478" spans="2:2">
      <c r="B478" s="132"/>
    </row>
    <row r="479" spans="2:2">
      <c r="B479" s="132"/>
    </row>
    <row r="480" spans="2:2">
      <c r="B480" s="132"/>
    </row>
    <row r="481" spans="2:2">
      <c r="B481" s="132"/>
    </row>
    <row r="482" spans="2:2">
      <c r="B482" s="132"/>
    </row>
    <row r="483" spans="2:2">
      <c r="B483" s="132"/>
    </row>
    <row r="484" spans="2:2">
      <c r="B484" s="132"/>
    </row>
    <row r="485" spans="2:2">
      <c r="B485" s="132"/>
    </row>
    <row r="486" spans="2:2">
      <c r="B486" s="132"/>
    </row>
    <row r="487" spans="2:2">
      <c r="B487" s="132"/>
    </row>
    <row r="488" spans="2:2">
      <c r="B488" s="132"/>
    </row>
    <row r="489" spans="2:2">
      <c r="B489" s="132"/>
    </row>
    <row r="490" spans="2:2">
      <c r="B490" s="132"/>
    </row>
    <row r="491" spans="2:2">
      <c r="B491" s="132"/>
    </row>
    <row r="492" spans="2:2">
      <c r="B492" s="132"/>
    </row>
    <row r="493" spans="2:2">
      <c r="B493" s="132"/>
    </row>
    <row r="494" spans="2:2">
      <c r="B494" s="132"/>
    </row>
    <row r="495" spans="2:2">
      <c r="B495" s="132"/>
    </row>
    <row r="496" spans="2:2">
      <c r="B496" s="132"/>
    </row>
    <row r="497" spans="2:2">
      <c r="B497" s="132"/>
    </row>
    <row r="498" spans="2:2">
      <c r="B498" s="132"/>
    </row>
    <row r="499" spans="2:2">
      <c r="B499" s="132"/>
    </row>
    <row r="500" spans="2:2">
      <c r="B500" s="132"/>
    </row>
    <row r="501" spans="2:2">
      <c r="B501" s="132"/>
    </row>
    <row r="502" spans="2:2">
      <c r="B502" s="132"/>
    </row>
    <row r="503" spans="2:2">
      <c r="B503" s="132"/>
    </row>
    <row r="504" spans="2:2">
      <c r="B504" s="132"/>
    </row>
    <row r="505" spans="2:2">
      <c r="B505" s="132"/>
    </row>
    <row r="506" spans="2:2">
      <c r="B506" s="132"/>
    </row>
    <row r="507" spans="2:2">
      <c r="B507" s="132"/>
    </row>
    <row r="508" spans="2:2">
      <c r="B508" s="132"/>
    </row>
    <row r="509" spans="2:2">
      <c r="B509" s="132"/>
    </row>
    <row r="510" spans="2:2">
      <c r="B510" s="132"/>
    </row>
    <row r="511" spans="2:2">
      <c r="B511" s="132"/>
    </row>
    <row r="512" spans="2:2">
      <c r="B512" s="132"/>
    </row>
    <row r="513" spans="2:2">
      <c r="B513" s="132"/>
    </row>
    <row r="514" spans="2:2">
      <c r="B514" s="132"/>
    </row>
    <row r="515" spans="2:2">
      <c r="B515" s="132"/>
    </row>
    <row r="516" spans="2:2">
      <c r="B516" s="132"/>
    </row>
    <row r="517" spans="2:2">
      <c r="B517" s="132"/>
    </row>
    <row r="518" spans="2:2">
      <c r="B518" s="132"/>
    </row>
    <row r="519" spans="2:2">
      <c r="B519" s="132"/>
    </row>
    <row r="520" spans="2:2">
      <c r="B520" s="132"/>
    </row>
    <row r="521" spans="2:2">
      <c r="B521" s="132"/>
    </row>
    <row r="522" spans="2:2">
      <c r="B522" s="132"/>
    </row>
    <row r="523" spans="2:2">
      <c r="B523" s="132"/>
    </row>
    <row r="524" spans="2:2">
      <c r="B524" s="132"/>
    </row>
    <row r="525" spans="2:2">
      <c r="B525" s="132"/>
    </row>
    <row r="526" spans="2:2">
      <c r="B526" s="132"/>
    </row>
    <row r="527" spans="2:2">
      <c r="B527" s="132"/>
    </row>
    <row r="528" spans="2:2">
      <c r="B528" s="132"/>
    </row>
    <row r="529" spans="2:2">
      <c r="B529" s="132"/>
    </row>
    <row r="530" spans="2:2">
      <c r="B530" s="132"/>
    </row>
    <row r="531" spans="2:2">
      <c r="B531" s="132"/>
    </row>
    <row r="532" spans="2:2">
      <c r="B532" s="132"/>
    </row>
    <row r="533" spans="2:2">
      <c r="B533" s="132"/>
    </row>
    <row r="534" spans="2:2">
      <c r="B534" s="132"/>
    </row>
    <row r="535" spans="2:2">
      <c r="B535" s="132"/>
    </row>
    <row r="536" spans="2:2">
      <c r="B536" s="132"/>
    </row>
    <row r="537" spans="2:2">
      <c r="B537" s="132"/>
    </row>
    <row r="538" spans="2:2">
      <c r="B538" s="132"/>
    </row>
    <row r="539" spans="2:2">
      <c r="B539" s="132"/>
    </row>
    <row r="540" spans="2:2">
      <c r="B540" s="132"/>
    </row>
    <row r="541" spans="2:2">
      <c r="B541" s="132"/>
    </row>
    <row r="542" spans="2:2">
      <c r="B542" s="132"/>
    </row>
    <row r="543" spans="2:2">
      <c r="B543" s="132"/>
    </row>
    <row r="544" spans="2:2">
      <c r="B544" s="132"/>
    </row>
    <row r="545" spans="2:2">
      <c r="B545" s="132"/>
    </row>
    <row r="546" spans="2:2">
      <c r="B546" s="132"/>
    </row>
    <row r="547" spans="2:2">
      <c r="B547" s="132"/>
    </row>
    <row r="548" spans="2:2">
      <c r="B548" s="132"/>
    </row>
    <row r="549" spans="2:2">
      <c r="B549" s="132"/>
    </row>
    <row r="550" spans="2:2">
      <c r="B550" s="132"/>
    </row>
    <row r="551" spans="2:2">
      <c r="B551" s="132"/>
    </row>
    <row r="552" spans="2:2">
      <c r="B552" s="132"/>
    </row>
    <row r="553" spans="2:2">
      <c r="B553" s="132"/>
    </row>
    <row r="554" spans="2:2">
      <c r="B554" s="132"/>
    </row>
    <row r="555" spans="2:2">
      <c r="B555" s="132"/>
    </row>
    <row r="556" spans="2:2">
      <c r="B556" s="132"/>
    </row>
    <row r="557" spans="2:2">
      <c r="B557" s="132"/>
    </row>
  </sheetData>
  <mergeCells count="6">
    <mergeCell ref="D334:E334"/>
    <mergeCell ref="D335:E335"/>
    <mergeCell ref="B2:H2"/>
    <mergeCell ref="A6:B6"/>
    <mergeCell ref="F334:H334"/>
    <mergeCell ref="F335:H335"/>
  </mergeCells>
  <pageMargins left="0.39370078740157483" right="0.39370078740157483" top="0.78740157480314965" bottom="0.39370078740157483" header="0.31496062992125984" footer="0.31496062992125984"/>
  <pageSetup paperSize="9" scale="67" fitToHeight="14" orientation="landscape" r:id="rId1"/>
  <rowBreaks count="1" manualBreakCount="1">
    <brk id="2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01"/>
  <sheetViews>
    <sheetView view="pageBreakPreview" topLeftCell="A4" zoomScale="66" zoomScaleNormal="100" zoomScaleSheetLayoutView="66" workbookViewId="0">
      <selection activeCell="F9" sqref="F9"/>
    </sheetView>
  </sheetViews>
  <sheetFormatPr defaultRowHeight="18.75"/>
  <cols>
    <col min="1" max="1" width="60.28515625" style="16" customWidth="1"/>
    <col min="2" max="2" width="12" style="34" customWidth="1"/>
    <col min="3" max="3" width="16.140625" style="188" customWidth="1"/>
    <col min="4" max="4" width="16.7109375" style="188" customWidth="1"/>
    <col min="5" max="5" width="16.140625" style="34" customWidth="1"/>
    <col min="6" max="6" width="16" style="34" customWidth="1"/>
    <col min="7" max="7" width="16.42578125" style="16" customWidth="1"/>
    <col min="8" max="16384" width="9.140625" style="16"/>
  </cols>
  <sheetData>
    <row r="1" spans="1:7" ht="27.75" customHeight="1">
      <c r="A1" s="256" t="s">
        <v>104</v>
      </c>
      <c r="B1" s="256"/>
      <c r="C1" s="256"/>
      <c r="D1" s="256"/>
      <c r="E1" s="256"/>
      <c r="F1" s="256"/>
    </row>
    <row r="2" spans="1:7" ht="19.5" customHeight="1">
      <c r="A2" s="17"/>
      <c r="B2" s="18"/>
      <c r="C2" s="123"/>
      <c r="D2" s="123"/>
      <c r="E2" s="17"/>
      <c r="F2" s="18"/>
      <c r="G2" s="42" t="s">
        <v>65</v>
      </c>
    </row>
    <row r="3" spans="1:7" ht="66" customHeight="1">
      <c r="A3" s="19" t="s">
        <v>23</v>
      </c>
      <c r="B3" s="20" t="s">
        <v>5</v>
      </c>
      <c r="C3" s="88" t="s">
        <v>303</v>
      </c>
      <c r="D3" s="122" t="s">
        <v>311</v>
      </c>
      <c r="E3" s="20" t="s">
        <v>302</v>
      </c>
      <c r="F3" s="39" t="s">
        <v>115</v>
      </c>
      <c r="G3" s="40" t="s">
        <v>116</v>
      </c>
    </row>
    <row r="4" spans="1:7" ht="21.75" customHeight="1">
      <c r="A4" s="22">
        <v>1</v>
      </c>
      <c r="B4" s="1">
        <v>2</v>
      </c>
      <c r="C4" s="88">
        <v>3</v>
      </c>
      <c r="D4" s="88">
        <v>4</v>
      </c>
      <c r="E4" s="1">
        <v>5</v>
      </c>
      <c r="F4" s="1">
        <v>6</v>
      </c>
      <c r="G4" s="21">
        <v>7</v>
      </c>
    </row>
    <row r="5" spans="1:7" ht="37.5" customHeight="1">
      <c r="A5" s="28" t="s">
        <v>13</v>
      </c>
      <c r="B5" s="23">
        <v>4000</v>
      </c>
      <c r="C5" s="24">
        <f>C6+C28+C75</f>
        <v>591.99999999999989</v>
      </c>
      <c r="D5" s="24">
        <f>D6+D28+D75</f>
        <v>0</v>
      </c>
      <c r="E5" s="24">
        <f>E6+E28+E75</f>
        <v>3946.2000000000003</v>
      </c>
      <c r="F5" s="24">
        <f>E5-D5</f>
        <v>3946.2000000000003</v>
      </c>
      <c r="G5" s="214" t="e">
        <f>(E5/D5)*100</f>
        <v>#DIV/0!</v>
      </c>
    </row>
    <row r="6" spans="1:7" ht="27.75" customHeight="1">
      <c r="A6" s="212" t="s">
        <v>0</v>
      </c>
      <c r="B6" s="213">
        <v>4020</v>
      </c>
      <c r="C6" s="70">
        <f>SUM(C7:C27)</f>
        <v>428.19999999999993</v>
      </c>
      <c r="D6" s="70">
        <f>D19</f>
        <v>0</v>
      </c>
      <c r="E6" s="70">
        <f>SUM(E7:E27)</f>
        <v>3496.2000000000003</v>
      </c>
      <c r="F6" s="70">
        <f>E6-D6</f>
        <v>3496.2000000000003</v>
      </c>
      <c r="G6" s="215" t="e">
        <f>(E6/D6)*100</f>
        <v>#DIV/0!</v>
      </c>
    </row>
    <row r="7" spans="1:7" ht="27.75" customHeight="1">
      <c r="A7" s="161" t="s">
        <v>312</v>
      </c>
      <c r="B7" s="38"/>
      <c r="C7" s="26">
        <v>103.7</v>
      </c>
      <c r="D7" s="43"/>
      <c r="E7" s="43"/>
      <c r="F7" s="70">
        <f t="shared" ref="F7:F27" si="0">E7-D7</f>
        <v>0</v>
      </c>
      <c r="G7" s="214" t="e">
        <f t="shared" ref="G7:G27" si="1">(E7/D7)*100</f>
        <v>#DIV/0!</v>
      </c>
    </row>
    <row r="8" spans="1:7" ht="31.5" customHeight="1">
      <c r="A8" s="101" t="s">
        <v>313</v>
      </c>
      <c r="B8" s="38"/>
      <c r="C8" s="26">
        <v>22</v>
      </c>
      <c r="D8" s="43"/>
      <c r="E8" s="43"/>
      <c r="F8" s="70">
        <f t="shared" si="0"/>
        <v>0</v>
      </c>
      <c r="G8" s="214" t="e">
        <f t="shared" si="1"/>
        <v>#DIV/0!</v>
      </c>
    </row>
    <row r="9" spans="1:7" ht="27.75" customHeight="1">
      <c r="A9" s="101" t="s">
        <v>314</v>
      </c>
      <c r="B9" s="38"/>
      <c r="C9" s="26">
        <v>6.4</v>
      </c>
      <c r="D9" s="43"/>
      <c r="E9" s="43"/>
      <c r="F9" s="70">
        <f t="shared" si="0"/>
        <v>0</v>
      </c>
      <c r="G9" s="214" t="e">
        <f t="shared" si="1"/>
        <v>#DIV/0!</v>
      </c>
    </row>
    <row r="10" spans="1:7" ht="27.75" customHeight="1">
      <c r="A10" s="101" t="s">
        <v>315</v>
      </c>
      <c r="B10" s="38"/>
      <c r="C10" s="26">
        <v>7.2</v>
      </c>
      <c r="D10" s="43"/>
      <c r="E10" s="43"/>
      <c r="F10" s="70">
        <f t="shared" si="0"/>
        <v>0</v>
      </c>
      <c r="G10" s="214" t="e">
        <f t="shared" si="1"/>
        <v>#DIV/0!</v>
      </c>
    </row>
    <row r="11" spans="1:7" ht="27.75" customHeight="1">
      <c r="A11" s="101" t="s">
        <v>316</v>
      </c>
      <c r="B11" s="38"/>
      <c r="C11" s="26">
        <v>8.1</v>
      </c>
      <c r="D11" s="43"/>
      <c r="E11" s="43"/>
      <c r="F11" s="70">
        <f t="shared" si="0"/>
        <v>0</v>
      </c>
      <c r="G11" s="214" t="e">
        <f t="shared" si="1"/>
        <v>#DIV/0!</v>
      </c>
    </row>
    <row r="12" spans="1:7" ht="27.75" customHeight="1">
      <c r="A12" s="101" t="s">
        <v>323</v>
      </c>
      <c r="B12" s="38"/>
      <c r="C12" s="26">
        <v>78.7</v>
      </c>
      <c r="D12" s="43"/>
      <c r="E12" s="43"/>
      <c r="F12" s="70">
        <f t="shared" si="0"/>
        <v>0</v>
      </c>
      <c r="G12" s="214" t="e">
        <f t="shared" si="1"/>
        <v>#DIV/0!</v>
      </c>
    </row>
    <row r="13" spans="1:7" ht="40.5" customHeight="1">
      <c r="A13" s="101" t="s">
        <v>317</v>
      </c>
      <c r="B13" s="38"/>
      <c r="C13" s="26">
        <v>16.600000000000001</v>
      </c>
      <c r="D13" s="43"/>
      <c r="E13" s="43"/>
      <c r="F13" s="70">
        <f t="shared" si="0"/>
        <v>0</v>
      </c>
      <c r="G13" s="214" t="e">
        <f t="shared" si="1"/>
        <v>#DIV/0!</v>
      </c>
    </row>
    <row r="14" spans="1:7" ht="27.75" customHeight="1">
      <c r="A14" s="101" t="s">
        <v>318</v>
      </c>
      <c r="B14" s="38"/>
      <c r="C14" s="26">
        <v>6</v>
      </c>
      <c r="D14" s="43"/>
      <c r="E14" s="43"/>
      <c r="F14" s="70">
        <f t="shared" si="0"/>
        <v>0</v>
      </c>
      <c r="G14" s="214" t="e">
        <f t="shared" si="1"/>
        <v>#DIV/0!</v>
      </c>
    </row>
    <row r="15" spans="1:7" ht="27.75" customHeight="1">
      <c r="A15" s="101" t="s">
        <v>319</v>
      </c>
      <c r="B15" s="38"/>
      <c r="C15" s="26">
        <v>26.2</v>
      </c>
      <c r="D15" s="43"/>
      <c r="E15" s="43"/>
      <c r="F15" s="70">
        <f t="shared" si="0"/>
        <v>0</v>
      </c>
      <c r="G15" s="214" t="e">
        <f t="shared" si="1"/>
        <v>#DIV/0!</v>
      </c>
    </row>
    <row r="16" spans="1:7" ht="27.75" customHeight="1">
      <c r="A16" s="101" t="s">
        <v>320</v>
      </c>
      <c r="B16" s="38"/>
      <c r="C16" s="26">
        <v>42.8</v>
      </c>
      <c r="D16" s="43"/>
      <c r="E16" s="43"/>
      <c r="F16" s="70">
        <f t="shared" si="0"/>
        <v>0</v>
      </c>
      <c r="G16" s="214" t="e">
        <f t="shared" si="1"/>
        <v>#DIV/0!</v>
      </c>
    </row>
    <row r="17" spans="1:7" ht="28.5" customHeight="1">
      <c r="A17" s="101" t="s">
        <v>321</v>
      </c>
      <c r="B17" s="38"/>
      <c r="C17" s="26">
        <v>28.2</v>
      </c>
      <c r="D17" s="43"/>
      <c r="E17" s="43"/>
      <c r="F17" s="70">
        <f t="shared" si="0"/>
        <v>0</v>
      </c>
      <c r="G17" s="214" t="e">
        <f t="shared" si="1"/>
        <v>#DIV/0!</v>
      </c>
    </row>
    <row r="18" spans="1:7" ht="27.75" customHeight="1">
      <c r="A18" s="101" t="s">
        <v>322</v>
      </c>
      <c r="B18" s="38"/>
      <c r="C18" s="26">
        <v>17.899999999999999</v>
      </c>
      <c r="D18" s="43"/>
      <c r="E18" s="43"/>
      <c r="F18" s="70">
        <f t="shared" si="0"/>
        <v>0</v>
      </c>
      <c r="G18" s="214" t="e">
        <f t="shared" si="1"/>
        <v>#DIV/0!</v>
      </c>
    </row>
    <row r="19" spans="1:7" ht="27.75" customHeight="1">
      <c r="A19" s="109" t="s">
        <v>233</v>
      </c>
      <c r="B19" s="1"/>
      <c r="C19" s="26"/>
      <c r="D19" s="26"/>
      <c r="E19" s="26">
        <v>162.5</v>
      </c>
      <c r="F19" s="70">
        <f t="shared" si="0"/>
        <v>162.5</v>
      </c>
      <c r="G19" s="214" t="e">
        <f t="shared" si="1"/>
        <v>#DIV/0!</v>
      </c>
    </row>
    <row r="20" spans="1:7" ht="24.75" customHeight="1">
      <c r="A20" s="206" t="s">
        <v>359</v>
      </c>
      <c r="B20" s="1"/>
      <c r="C20" s="26"/>
      <c r="D20" s="26"/>
      <c r="E20" s="26">
        <v>103.9</v>
      </c>
      <c r="F20" s="70">
        <f t="shared" si="0"/>
        <v>103.9</v>
      </c>
      <c r="G20" s="214" t="e">
        <f t="shared" si="1"/>
        <v>#DIV/0!</v>
      </c>
    </row>
    <row r="21" spans="1:7" ht="37.5" customHeight="1">
      <c r="A21" s="206" t="s">
        <v>360</v>
      </c>
      <c r="B21" s="1"/>
      <c r="C21" s="26"/>
      <c r="D21" s="26"/>
      <c r="E21" s="26">
        <v>158.6</v>
      </c>
      <c r="F21" s="70">
        <f t="shared" si="0"/>
        <v>158.6</v>
      </c>
      <c r="G21" s="214" t="e">
        <f t="shared" si="1"/>
        <v>#DIV/0!</v>
      </c>
    </row>
    <row r="22" spans="1:7" ht="26.25" customHeight="1">
      <c r="A22" s="206" t="s">
        <v>361</v>
      </c>
      <c r="B22" s="1"/>
      <c r="C22" s="26"/>
      <c r="D22" s="26"/>
      <c r="E22" s="26">
        <v>50.4</v>
      </c>
      <c r="F22" s="70">
        <f t="shared" si="0"/>
        <v>50.4</v>
      </c>
      <c r="G22" s="214" t="e">
        <f t="shared" si="1"/>
        <v>#DIV/0!</v>
      </c>
    </row>
    <row r="23" spans="1:7" ht="37.5" customHeight="1">
      <c r="A23" s="209" t="s">
        <v>377</v>
      </c>
      <c r="B23" s="1"/>
      <c r="C23" s="26"/>
      <c r="D23" s="26"/>
      <c r="E23" s="26">
        <v>2022.6</v>
      </c>
      <c r="F23" s="70">
        <f t="shared" si="0"/>
        <v>2022.6</v>
      </c>
      <c r="G23" s="214" t="e">
        <f t="shared" si="1"/>
        <v>#DIV/0!</v>
      </c>
    </row>
    <row r="24" spans="1:7" ht="28.5" customHeight="1">
      <c r="A24" s="209" t="s">
        <v>378</v>
      </c>
      <c r="B24" s="1"/>
      <c r="C24" s="26"/>
      <c r="D24" s="26"/>
      <c r="E24" s="26">
        <v>455.4</v>
      </c>
      <c r="F24" s="70">
        <f t="shared" si="0"/>
        <v>455.4</v>
      </c>
      <c r="G24" s="214" t="e">
        <f t="shared" si="1"/>
        <v>#DIV/0!</v>
      </c>
    </row>
    <row r="25" spans="1:7" ht="27" customHeight="1">
      <c r="A25" s="208" t="s">
        <v>379</v>
      </c>
      <c r="B25" s="1"/>
      <c r="C25" s="26"/>
      <c r="D25" s="26"/>
      <c r="E25" s="26">
        <v>235.3</v>
      </c>
      <c r="F25" s="70">
        <f t="shared" si="0"/>
        <v>235.3</v>
      </c>
      <c r="G25" s="214" t="e">
        <f t="shared" si="1"/>
        <v>#DIV/0!</v>
      </c>
    </row>
    <row r="26" spans="1:7" ht="37.5" customHeight="1">
      <c r="A26" s="209" t="s">
        <v>380</v>
      </c>
      <c r="B26" s="1"/>
      <c r="C26" s="26"/>
      <c r="D26" s="26"/>
      <c r="E26" s="26">
        <v>307.5</v>
      </c>
      <c r="F26" s="70">
        <f t="shared" si="0"/>
        <v>307.5</v>
      </c>
      <c r="G26" s="214" t="e">
        <f t="shared" si="1"/>
        <v>#DIV/0!</v>
      </c>
    </row>
    <row r="27" spans="1:7" ht="52.5" customHeight="1">
      <c r="A27" s="109" t="s">
        <v>256</v>
      </c>
      <c r="B27" s="38"/>
      <c r="C27" s="43">
        <v>64.400000000000006</v>
      </c>
      <c r="D27" s="43"/>
      <c r="E27" s="43"/>
      <c r="F27" s="70">
        <f t="shared" si="0"/>
        <v>0</v>
      </c>
      <c r="G27" s="214" t="e">
        <f t="shared" si="1"/>
        <v>#DIV/0!</v>
      </c>
    </row>
    <row r="28" spans="1:7" s="27" customFormat="1" ht="38.25" customHeight="1">
      <c r="A28" s="210" t="s">
        <v>7</v>
      </c>
      <c r="B28" s="211">
        <v>4030</v>
      </c>
      <c r="C28" s="70">
        <f>SUM(C29:C66)</f>
        <v>163.79999999999998</v>
      </c>
      <c r="D28" s="70">
        <f>D66</f>
        <v>0</v>
      </c>
      <c r="E28" s="70">
        <f>SUM(E29:E74)</f>
        <v>145.1</v>
      </c>
      <c r="F28" s="70">
        <f>E28-D28</f>
        <v>145.1</v>
      </c>
      <c r="G28" s="214" t="e">
        <f>(E28/D28)*100</f>
        <v>#DIV/0!</v>
      </c>
    </row>
    <row r="29" spans="1:7" s="27" customFormat="1" ht="38.25" customHeight="1">
      <c r="A29" s="101" t="s">
        <v>324</v>
      </c>
      <c r="B29" s="45"/>
      <c r="C29" s="43">
        <v>5.8</v>
      </c>
      <c r="D29" s="43"/>
      <c r="E29" s="43"/>
      <c r="F29" s="70">
        <f t="shared" ref="F29:F65" si="2">E29-D29</f>
        <v>0</v>
      </c>
      <c r="G29" s="214" t="e">
        <f t="shared" ref="G29:G65" si="3">(E29/D29)*100</f>
        <v>#DIV/0!</v>
      </c>
    </row>
    <row r="30" spans="1:7" s="27" customFormat="1" ht="25.5" customHeight="1">
      <c r="A30" s="101" t="s">
        <v>325</v>
      </c>
      <c r="B30" s="45"/>
      <c r="C30" s="43">
        <v>5</v>
      </c>
      <c r="D30" s="43"/>
      <c r="E30" s="43"/>
      <c r="F30" s="70">
        <f t="shared" si="2"/>
        <v>0</v>
      </c>
      <c r="G30" s="214" t="e">
        <f t="shared" si="3"/>
        <v>#DIV/0!</v>
      </c>
    </row>
    <row r="31" spans="1:7" s="27" customFormat="1" ht="27" customHeight="1">
      <c r="A31" s="101" t="s">
        <v>326</v>
      </c>
      <c r="B31" s="45"/>
      <c r="C31" s="43">
        <v>5.2</v>
      </c>
      <c r="D31" s="43"/>
      <c r="E31" s="43"/>
      <c r="F31" s="70">
        <f t="shared" si="2"/>
        <v>0</v>
      </c>
      <c r="G31" s="214" t="e">
        <f t="shared" si="3"/>
        <v>#DIV/0!</v>
      </c>
    </row>
    <row r="32" spans="1:7" s="27" customFormat="1" ht="30" customHeight="1">
      <c r="A32" s="101" t="s">
        <v>327</v>
      </c>
      <c r="B32" s="45"/>
      <c r="C32" s="26">
        <v>25.2</v>
      </c>
      <c r="D32" s="43"/>
      <c r="E32" s="43"/>
      <c r="F32" s="70">
        <f t="shared" si="2"/>
        <v>0</v>
      </c>
      <c r="G32" s="214" t="e">
        <f t="shared" si="3"/>
        <v>#DIV/0!</v>
      </c>
    </row>
    <row r="33" spans="1:7" s="27" customFormat="1" ht="38.25" customHeight="1">
      <c r="A33" s="101" t="s">
        <v>328</v>
      </c>
      <c r="B33" s="45"/>
      <c r="C33" s="26">
        <v>16.8</v>
      </c>
      <c r="D33" s="43"/>
      <c r="E33" s="43"/>
      <c r="F33" s="70">
        <f t="shared" si="2"/>
        <v>0</v>
      </c>
      <c r="G33" s="214" t="e">
        <f t="shared" si="3"/>
        <v>#DIV/0!</v>
      </c>
    </row>
    <row r="34" spans="1:7" s="27" customFormat="1" ht="31.5" customHeight="1">
      <c r="A34" s="101" t="s">
        <v>329</v>
      </c>
      <c r="B34" s="45"/>
      <c r="C34" s="26">
        <v>1.3</v>
      </c>
      <c r="D34" s="43"/>
      <c r="E34" s="43"/>
      <c r="F34" s="70">
        <f t="shared" si="2"/>
        <v>0</v>
      </c>
      <c r="G34" s="214" t="e">
        <f t="shared" si="3"/>
        <v>#DIV/0!</v>
      </c>
    </row>
    <row r="35" spans="1:7" s="27" customFormat="1" ht="30" customHeight="1">
      <c r="A35" s="101" t="s">
        <v>330</v>
      </c>
      <c r="B35" s="45"/>
      <c r="C35" s="26">
        <v>4.9000000000000004</v>
      </c>
      <c r="D35" s="43"/>
      <c r="E35" s="43"/>
      <c r="F35" s="70">
        <f t="shared" si="2"/>
        <v>0</v>
      </c>
      <c r="G35" s="214" t="e">
        <f t="shared" si="3"/>
        <v>#DIV/0!</v>
      </c>
    </row>
    <row r="36" spans="1:7" s="27" customFormat="1" ht="32.25" customHeight="1">
      <c r="A36" s="101" t="s">
        <v>331</v>
      </c>
      <c r="B36" s="45"/>
      <c r="C36" s="26">
        <v>2.2999999999999998</v>
      </c>
      <c r="D36" s="43"/>
      <c r="E36" s="43"/>
      <c r="F36" s="70">
        <f t="shared" si="2"/>
        <v>0</v>
      </c>
      <c r="G36" s="214" t="e">
        <f t="shared" si="3"/>
        <v>#DIV/0!</v>
      </c>
    </row>
    <row r="37" spans="1:7" s="27" customFormat="1" ht="29.25" customHeight="1">
      <c r="A37" s="101" t="s">
        <v>332</v>
      </c>
      <c r="B37" s="45"/>
      <c r="C37" s="26">
        <v>0.4</v>
      </c>
      <c r="D37" s="43"/>
      <c r="E37" s="43"/>
      <c r="F37" s="70">
        <f t="shared" si="2"/>
        <v>0</v>
      </c>
      <c r="G37" s="214" t="e">
        <f t="shared" si="3"/>
        <v>#DIV/0!</v>
      </c>
    </row>
    <row r="38" spans="1:7" s="27" customFormat="1" ht="38.25" customHeight="1">
      <c r="A38" s="101" t="s">
        <v>333</v>
      </c>
      <c r="B38" s="45"/>
      <c r="C38" s="26">
        <v>2.9</v>
      </c>
      <c r="D38" s="43"/>
      <c r="E38" s="43"/>
      <c r="F38" s="70">
        <f t="shared" si="2"/>
        <v>0</v>
      </c>
      <c r="G38" s="214" t="e">
        <f t="shared" si="3"/>
        <v>#DIV/0!</v>
      </c>
    </row>
    <row r="39" spans="1:7" s="27" customFormat="1" ht="38.25" customHeight="1">
      <c r="A39" s="101" t="s">
        <v>334</v>
      </c>
      <c r="B39" s="45"/>
      <c r="C39" s="26">
        <v>4.8</v>
      </c>
      <c r="D39" s="43"/>
      <c r="E39" s="43"/>
      <c r="F39" s="70">
        <f t="shared" si="2"/>
        <v>0</v>
      </c>
      <c r="G39" s="214" t="e">
        <f t="shared" si="3"/>
        <v>#DIV/0!</v>
      </c>
    </row>
    <row r="40" spans="1:7" s="27" customFormat="1" ht="32.25" customHeight="1">
      <c r="A40" s="101" t="s">
        <v>335</v>
      </c>
      <c r="B40" s="45"/>
      <c r="C40" s="26">
        <v>6.2</v>
      </c>
      <c r="D40" s="43"/>
      <c r="E40" s="43"/>
      <c r="F40" s="70">
        <f t="shared" si="2"/>
        <v>0</v>
      </c>
      <c r="G40" s="214" t="e">
        <f t="shared" si="3"/>
        <v>#DIV/0!</v>
      </c>
    </row>
    <row r="41" spans="1:7" s="27" customFormat="1" ht="38.25" customHeight="1">
      <c r="A41" s="101" t="s">
        <v>336</v>
      </c>
      <c r="B41" s="45"/>
      <c r="C41" s="26">
        <v>1.5</v>
      </c>
      <c r="D41" s="43"/>
      <c r="E41" s="43"/>
      <c r="F41" s="70">
        <f t="shared" si="2"/>
        <v>0</v>
      </c>
      <c r="G41" s="214" t="e">
        <f t="shared" si="3"/>
        <v>#DIV/0!</v>
      </c>
    </row>
    <row r="42" spans="1:7" s="27" customFormat="1" ht="38.25" customHeight="1">
      <c r="A42" s="101" t="s">
        <v>337</v>
      </c>
      <c r="B42" s="45"/>
      <c r="C42" s="26">
        <v>9.9</v>
      </c>
      <c r="D42" s="43"/>
      <c r="E42" s="43"/>
      <c r="F42" s="70">
        <f t="shared" si="2"/>
        <v>0</v>
      </c>
      <c r="G42" s="214" t="e">
        <f t="shared" si="3"/>
        <v>#DIV/0!</v>
      </c>
    </row>
    <row r="43" spans="1:7" s="27" customFormat="1" ht="38.25" customHeight="1">
      <c r="A43" s="101" t="s">
        <v>338</v>
      </c>
      <c r="B43" s="45"/>
      <c r="C43" s="26">
        <v>4.5</v>
      </c>
      <c r="D43" s="43"/>
      <c r="E43" s="43"/>
      <c r="F43" s="70">
        <f t="shared" si="2"/>
        <v>0</v>
      </c>
      <c r="G43" s="214" t="e">
        <f t="shared" si="3"/>
        <v>#DIV/0!</v>
      </c>
    </row>
    <row r="44" spans="1:7" s="27" customFormat="1" ht="38.25" customHeight="1">
      <c r="A44" s="101" t="s">
        <v>339</v>
      </c>
      <c r="B44" s="45"/>
      <c r="C44" s="26">
        <v>3.1</v>
      </c>
      <c r="D44" s="43"/>
      <c r="E44" s="43"/>
      <c r="F44" s="70">
        <f t="shared" si="2"/>
        <v>0</v>
      </c>
      <c r="G44" s="214" t="e">
        <f t="shared" si="3"/>
        <v>#DIV/0!</v>
      </c>
    </row>
    <row r="45" spans="1:7" s="27" customFormat="1" ht="38.25" customHeight="1">
      <c r="A45" s="101" t="s">
        <v>340</v>
      </c>
      <c r="B45" s="45"/>
      <c r="C45" s="26">
        <v>1.6</v>
      </c>
      <c r="D45" s="43"/>
      <c r="E45" s="43"/>
      <c r="F45" s="70">
        <f t="shared" si="2"/>
        <v>0</v>
      </c>
      <c r="G45" s="214" t="e">
        <f t="shared" si="3"/>
        <v>#DIV/0!</v>
      </c>
    </row>
    <row r="46" spans="1:7" s="27" customFormat="1" ht="38.25" customHeight="1">
      <c r="A46" s="101" t="s">
        <v>341</v>
      </c>
      <c r="B46" s="45"/>
      <c r="C46" s="26">
        <v>4.8</v>
      </c>
      <c r="D46" s="43"/>
      <c r="E46" s="43"/>
      <c r="F46" s="70">
        <f t="shared" si="2"/>
        <v>0</v>
      </c>
      <c r="G46" s="214" t="e">
        <f t="shared" si="3"/>
        <v>#DIV/0!</v>
      </c>
    </row>
    <row r="47" spans="1:7" s="27" customFormat="1" ht="38.25" customHeight="1">
      <c r="A47" s="101" t="s">
        <v>342</v>
      </c>
      <c r="B47" s="45"/>
      <c r="C47" s="26">
        <v>0.8</v>
      </c>
      <c r="D47" s="43"/>
      <c r="E47" s="43"/>
      <c r="F47" s="70">
        <f t="shared" si="2"/>
        <v>0</v>
      </c>
      <c r="G47" s="214" t="e">
        <f t="shared" si="3"/>
        <v>#DIV/0!</v>
      </c>
    </row>
    <row r="48" spans="1:7" s="27" customFormat="1" ht="38.25" customHeight="1">
      <c r="A48" s="101" t="s">
        <v>343</v>
      </c>
      <c r="B48" s="45"/>
      <c r="C48" s="26">
        <v>1.2</v>
      </c>
      <c r="D48" s="43"/>
      <c r="E48" s="43"/>
      <c r="F48" s="70">
        <f t="shared" si="2"/>
        <v>0</v>
      </c>
      <c r="G48" s="214" t="e">
        <f t="shared" si="3"/>
        <v>#DIV/0!</v>
      </c>
    </row>
    <row r="49" spans="1:7" s="27" customFormat="1" ht="38.25" customHeight="1">
      <c r="A49" s="101" t="s">
        <v>344</v>
      </c>
      <c r="B49" s="45"/>
      <c r="C49" s="26">
        <v>0.6</v>
      </c>
      <c r="D49" s="43"/>
      <c r="E49" s="43"/>
      <c r="F49" s="70">
        <f t="shared" si="2"/>
        <v>0</v>
      </c>
      <c r="G49" s="214" t="e">
        <f t="shared" si="3"/>
        <v>#DIV/0!</v>
      </c>
    </row>
    <row r="50" spans="1:7" s="27" customFormat="1" ht="38.25" customHeight="1">
      <c r="A50" s="101" t="s">
        <v>345</v>
      </c>
      <c r="B50" s="45"/>
      <c r="C50" s="26">
        <v>1.7</v>
      </c>
      <c r="D50" s="43"/>
      <c r="E50" s="43"/>
      <c r="F50" s="70">
        <f t="shared" si="2"/>
        <v>0</v>
      </c>
      <c r="G50" s="214" t="e">
        <f t="shared" si="3"/>
        <v>#DIV/0!</v>
      </c>
    </row>
    <row r="51" spans="1:7" s="27" customFormat="1" ht="38.25" customHeight="1">
      <c r="A51" s="101" t="s">
        <v>346</v>
      </c>
      <c r="B51" s="45"/>
      <c r="C51" s="26">
        <v>5.7</v>
      </c>
      <c r="D51" s="43"/>
      <c r="E51" s="43"/>
      <c r="F51" s="70">
        <f t="shared" si="2"/>
        <v>0</v>
      </c>
      <c r="G51" s="214" t="e">
        <f t="shared" si="3"/>
        <v>#DIV/0!</v>
      </c>
    </row>
    <row r="52" spans="1:7" s="27" customFormat="1" ht="38.25" customHeight="1">
      <c r="A52" s="101" t="s">
        <v>347</v>
      </c>
      <c r="B52" s="45"/>
      <c r="C52" s="26">
        <v>5.5</v>
      </c>
      <c r="D52" s="43"/>
      <c r="E52" s="43"/>
      <c r="F52" s="70">
        <f t="shared" si="2"/>
        <v>0</v>
      </c>
      <c r="G52" s="214" t="e">
        <f t="shared" si="3"/>
        <v>#DIV/0!</v>
      </c>
    </row>
    <row r="53" spans="1:7" s="27" customFormat="1" ht="38.25" customHeight="1">
      <c r="A53" s="101" t="s">
        <v>348</v>
      </c>
      <c r="B53" s="45"/>
      <c r="C53" s="26">
        <v>1</v>
      </c>
      <c r="D53" s="43"/>
      <c r="E53" s="43"/>
      <c r="F53" s="70">
        <f t="shared" si="2"/>
        <v>0</v>
      </c>
      <c r="G53" s="214" t="e">
        <f t="shared" si="3"/>
        <v>#DIV/0!</v>
      </c>
    </row>
    <row r="54" spans="1:7" s="27" customFormat="1" ht="38.25" customHeight="1">
      <c r="A54" s="101" t="s">
        <v>349</v>
      </c>
      <c r="B54" s="45"/>
      <c r="C54" s="26">
        <v>2.2999999999999998</v>
      </c>
      <c r="D54" s="43"/>
      <c r="E54" s="43"/>
      <c r="F54" s="70">
        <f t="shared" si="2"/>
        <v>0</v>
      </c>
      <c r="G54" s="214" t="e">
        <f t="shared" si="3"/>
        <v>#DIV/0!</v>
      </c>
    </row>
    <row r="55" spans="1:7" s="27" customFormat="1" ht="38.25" customHeight="1">
      <c r="A55" s="101" t="s">
        <v>350</v>
      </c>
      <c r="B55" s="45"/>
      <c r="C55" s="26">
        <v>0.7</v>
      </c>
      <c r="D55" s="43"/>
      <c r="E55" s="43"/>
      <c r="F55" s="70">
        <f t="shared" si="2"/>
        <v>0</v>
      </c>
      <c r="G55" s="214" t="e">
        <f t="shared" si="3"/>
        <v>#DIV/0!</v>
      </c>
    </row>
    <row r="56" spans="1:7" s="27" customFormat="1" ht="38.25" customHeight="1">
      <c r="A56" s="101" t="s">
        <v>351</v>
      </c>
      <c r="B56" s="45"/>
      <c r="C56" s="26">
        <v>0.4</v>
      </c>
      <c r="D56" s="43"/>
      <c r="E56" s="43"/>
      <c r="F56" s="70">
        <f t="shared" si="2"/>
        <v>0</v>
      </c>
      <c r="G56" s="214" t="e">
        <f t="shared" si="3"/>
        <v>#DIV/0!</v>
      </c>
    </row>
    <row r="57" spans="1:7" s="27" customFormat="1" ht="38.25" customHeight="1">
      <c r="A57" s="101" t="s">
        <v>352</v>
      </c>
      <c r="B57" s="45"/>
      <c r="C57" s="26">
        <v>1.5</v>
      </c>
      <c r="D57" s="43"/>
      <c r="E57" s="43"/>
      <c r="F57" s="70">
        <f t="shared" si="2"/>
        <v>0</v>
      </c>
      <c r="G57" s="214" t="e">
        <f t="shared" si="3"/>
        <v>#DIV/0!</v>
      </c>
    </row>
    <row r="58" spans="1:7" s="27" customFormat="1" ht="38.25" customHeight="1">
      <c r="A58" s="101" t="s">
        <v>353</v>
      </c>
      <c r="B58" s="45"/>
      <c r="C58" s="26">
        <v>4.5</v>
      </c>
      <c r="D58" s="43"/>
      <c r="E58" s="43"/>
      <c r="F58" s="70">
        <f t="shared" si="2"/>
        <v>0</v>
      </c>
      <c r="G58" s="214" t="e">
        <f t="shared" si="3"/>
        <v>#DIV/0!</v>
      </c>
    </row>
    <row r="59" spans="1:7" s="27" customFormat="1" ht="38.25" customHeight="1">
      <c r="A59" s="101" t="s">
        <v>354</v>
      </c>
      <c r="B59" s="45"/>
      <c r="C59" s="26">
        <v>10.7</v>
      </c>
      <c r="D59" s="43"/>
      <c r="E59" s="43"/>
      <c r="F59" s="70">
        <f t="shared" si="2"/>
        <v>0</v>
      </c>
      <c r="G59" s="214" t="e">
        <f t="shared" si="3"/>
        <v>#DIV/0!</v>
      </c>
    </row>
    <row r="60" spans="1:7" s="27" customFormat="1" ht="38.25" customHeight="1">
      <c r="A60" s="102" t="s">
        <v>355</v>
      </c>
      <c r="B60" s="45"/>
      <c r="C60" s="26">
        <v>5.2</v>
      </c>
      <c r="D60" s="43"/>
      <c r="E60" s="43"/>
      <c r="F60" s="70">
        <f t="shared" si="2"/>
        <v>0</v>
      </c>
      <c r="G60" s="214" t="e">
        <f t="shared" si="3"/>
        <v>#DIV/0!</v>
      </c>
    </row>
    <row r="61" spans="1:7" s="27" customFormat="1" ht="38.25" customHeight="1">
      <c r="A61" s="91" t="s">
        <v>356</v>
      </c>
      <c r="B61" s="91"/>
      <c r="C61" s="26">
        <v>8</v>
      </c>
      <c r="D61" s="43"/>
      <c r="E61" s="43"/>
      <c r="F61" s="70">
        <f t="shared" si="2"/>
        <v>0</v>
      </c>
      <c r="G61" s="214" t="e">
        <f t="shared" si="3"/>
        <v>#DIV/0!</v>
      </c>
    </row>
    <row r="62" spans="1:7" s="27" customFormat="1" ht="38.25" customHeight="1">
      <c r="A62" s="102" t="s">
        <v>357</v>
      </c>
      <c r="B62" s="45"/>
      <c r="C62" s="26">
        <v>4.5999999999999996</v>
      </c>
      <c r="D62" s="43"/>
      <c r="E62" s="43"/>
      <c r="F62" s="70">
        <f t="shared" si="2"/>
        <v>0</v>
      </c>
      <c r="G62" s="214" t="e">
        <f t="shared" si="3"/>
        <v>#DIV/0!</v>
      </c>
    </row>
    <row r="63" spans="1:7" s="27" customFormat="1" ht="38.25" customHeight="1">
      <c r="A63" s="102" t="s">
        <v>358</v>
      </c>
      <c r="B63" s="45"/>
      <c r="C63" s="26">
        <v>2.1</v>
      </c>
      <c r="D63" s="43"/>
      <c r="E63" s="43"/>
      <c r="F63" s="70">
        <f t="shared" si="2"/>
        <v>0</v>
      </c>
      <c r="G63" s="214" t="e">
        <f t="shared" si="3"/>
        <v>#DIV/0!</v>
      </c>
    </row>
    <row r="64" spans="1:7" s="27" customFormat="1" ht="38.25" customHeight="1">
      <c r="A64" s="133" t="s">
        <v>257</v>
      </c>
      <c r="B64" s="45"/>
      <c r="C64" s="43">
        <v>0.4</v>
      </c>
      <c r="D64" s="43"/>
      <c r="E64" s="43"/>
      <c r="F64" s="70">
        <f t="shared" si="2"/>
        <v>0</v>
      </c>
      <c r="G64" s="214" t="e">
        <f t="shared" si="3"/>
        <v>#DIV/0!</v>
      </c>
    </row>
    <row r="65" spans="1:8" s="27" customFormat="1" ht="38.25" customHeight="1">
      <c r="A65" s="44" t="s">
        <v>258</v>
      </c>
      <c r="B65" s="45"/>
      <c r="C65" s="43">
        <v>0.7</v>
      </c>
      <c r="D65" s="43"/>
      <c r="E65" s="43"/>
      <c r="F65" s="70">
        <f t="shared" si="2"/>
        <v>0</v>
      </c>
      <c r="G65" s="214" t="e">
        <f t="shared" si="3"/>
        <v>#DIV/0!</v>
      </c>
    </row>
    <row r="66" spans="1:8" ht="27" customHeight="1">
      <c r="A66" s="25" t="s">
        <v>232</v>
      </c>
      <c r="B66" s="1"/>
      <c r="C66" s="26"/>
      <c r="D66" s="26"/>
      <c r="E66" s="26">
        <v>22</v>
      </c>
      <c r="F66" s="26">
        <f>E66-D66</f>
        <v>22</v>
      </c>
      <c r="G66" s="216" t="e">
        <f>(E66/D66)*100</f>
        <v>#DIV/0!</v>
      </c>
    </row>
    <row r="67" spans="1:8" ht="27" customHeight="1">
      <c r="A67" s="207" t="s">
        <v>362</v>
      </c>
      <c r="B67" s="1"/>
      <c r="C67" s="26"/>
      <c r="D67" s="26"/>
      <c r="E67" s="26">
        <v>14.6</v>
      </c>
      <c r="F67" s="26">
        <f t="shared" ref="F67:F74" si="4">E67-D67</f>
        <v>14.6</v>
      </c>
      <c r="G67" s="216" t="e">
        <f t="shared" ref="G67:G74" si="5">(E67/D67)*100</f>
        <v>#DIV/0!</v>
      </c>
    </row>
    <row r="68" spans="1:8" ht="20.25" customHeight="1">
      <c r="A68" s="207" t="s">
        <v>366</v>
      </c>
      <c r="B68" s="1"/>
      <c r="C68" s="26"/>
      <c r="D68" s="26"/>
      <c r="E68" s="26">
        <v>34</v>
      </c>
      <c r="F68" s="26">
        <f t="shared" si="4"/>
        <v>34</v>
      </c>
      <c r="G68" s="216" t="e">
        <f t="shared" si="5"/>
        <v>#DIV/0!</v>
      </c>
    </row>
    <row r="69" spans="1:8" ht="39.75" customHeight="1">
      <c r="A69" s="206" t="s">
        <v>364</v>
      </c>
      <c r="B69" s="1"/>
      <c r="C69" s="26"/>
      <c r="D69" s="26"/>
      <c r="E69" s="26">
        <v>2.8</v>
      </c>
      <c r="F69" s="26">
        <f t="shared" si="4"/>
        <v>2.8</v>
      </c>
      <c r="G69" s="216" t="e">
        <f t="shared" si="5"/>
        <v>#DIV/0!</v>
      </c>
    </row>
    <row r="70" spans="1:8" ht="26.25" customHeight="1">
      <c r="A70" s="206" t="s">
        <v>367</v>
      </c>
      <c r="B70" s="1"/>
      <c r="C70" s="26"/>
      <c r="D70" s="26"/>
      <c r="E70" s="26">
        <v>15.3</v>
      </c>
      <c r="F70" s="26">
        <f t="shared" si="4"/>
        <v>15.3</v>
      </c>
      <c r="G70" s="216" t="e">
        <f t="shared" si="5"/>
        <v>#DIV/0!</v>
      </c>
    </row>
    <row r="71" spans="1:8" ht="24.75" customHeight="1">
      <c r="A71" s="209" t="s">
        <v>372</v>
      </c>
      <c r="B71" s="1"/>
      <c r="C71" s="26"/>
      <c r="D71" s="26"/>
      <c r="E71" s="26">
        <v>2.7</v>
      </c>
      <c r="F71" s="26">
        <f t="shared" si="4"/>
        <v>2.7</v>
      </c>
      <c r="G71" s="216" t="e">
        <f t="shared" si="5"/>
        <v>#DIV/0!</v>
      </c>
    </row>
    <row r="72" spans="1:8" ht="39.75" customHeight="1">
      <c r="A72" s="209" t="s">
        <v>373</v>
      </c>
      <c r="B72" s="1"/>
      <c r="C72" s="26"/>
      <c r="D72" s="26"/>
      <c r="E72" s="26">
        <v>14.2</v>
      </c>
      <c r="F72" s="26">
        <f t="shared" si="4"/>
        <v>14.2</v>
      </c>
      <c r="G72" s="216" t="e">
        <f t="shared" si="5"/>
        <v>#DIV/0!</v>
      </c>
    </row>
    <row r="73" spans="1:8" ht="24" customHeight="1">
      <c r="A73" s="209" t="s">
        <v>374</v>
      </c>
      <c r="B73" s="1"/>
      <c r="C73" s="26"/>
      <c r="D73" s="26"/>
      <c r="E73" s="26">
        <v>19.600000000000001</v>
      </c>
      <c r="F73" s="26">
        <f t="shared" si="4"/>
        <v>19.600000000000001</v>
      </c>
      <c r="G73" s="216" t="e">
        <f t="shared" si="5"/>
        <v>#DIV/0!</v>
      </c>
    </row>
    <row r="74" spans="1:8" ht="26.25" customHeight="1">
      <c r="A74" s="209" t="s">
        <v>375</v>
      </c>
      <c r="B74" s="1"/>
      <c r="C74" s="26"/>
      <c r="D74" s="26"/>
      <c r="E74" s="26">
        <v>19.899999999999999</v>
      </c>
      <c r="F74" s="26">
        <f t="shared" si="4"/>
        <v>19.899999999999999</v>
      </c>
      <c r="G74" s="216" t="e">
        <f t="shared" si="5"/>
        <v>#DIV/0!</v>
      </c>
    </row>
    <row r="75" spans="1:8" ht="27.75" customHeight="1">
      <c r="A75" s="212" t="s">
        <v>39</v>
      </c>
      <c r="B75" s="213">
        <v>4060</v>
      </c>
      <c r="C75" s="70"/>
      <c r="D75" s="70"/>
      <c r="E75" s="70">
        <f>E76</f>
        <v>304.89999999999998</v>
      </c>
      <c r="F75" s="70">
        <f>E75-D75</f>
        <v>304.89999999999998</v>
      </c>
      <c r="G75" s="214" t="e">
        <f>(E75/D75)*100</f>
        <v>#DIV/0!</v>
      </c>
    </row>
    <row r="76" spans="1:8" ht="89.25" customHeight="1">
      <c r="A76" s="109" t="s">
        <v>234</v>
      </c>
      <c r="B76" s="1"/>
      <c r="C76" s="26"/>
      <c r="D76" s="26"/>
      <c r="E76" s="26">
        <v>304.89999999999998</v>
      </c>
      <c r="F76" s="26">
        <f>E76-D76</f>
        <v>304.89999999999998</v>
      </c>
      <c r="G76" s="216" t="e">
        <f>(E76/D76)*100</f>
        <v>#DIV/0!</v>
      </c>
    </row>
    <row r="77" spans="1:8" ht="27" customHeight="1">
      <c r="A77" s="46"/>
      <c r="B77" s="47"/>
      <c r="C77" s="41"/>
      <c r="D77" s="41"/>
      <c r="E77" s="41"/>
      <c r="F77" s="41"/>
      <c r="G77" s="48"/>
    </row>
    <row r="78" spans="1:8" ht="26.25" customHeight="1">
      <c r="A78" s="186" t="s">
        <v>474</v>
      </c>
      <c r="B78" s="32"/>
      <c r="C78" s="255"/>
      <c r="D78" s="255"/>
      <c r="E78" s="244" t="s">
        <v>213</v>
      </c>
      <c r="F78" s="244"/>
      <c r="G78" s="244"/>
      <c r="H78" s="108"/>
    </row>
    <row r="79" spans="1:8">
      <c r="A79" s="188" t="s">
        <v>60</v>
      </c>
      <c r="B79" s="33"/>
      <c r="C79" s="248" t="s">
        <v>66</v>
      </c>
      <c r="D79" s="248"/>
      <c r="E79" s="190"/>
      <c r="F79" s="33" t="s">
        <v>17</v>
      </c>
      <c r="G79" s="33"/>
    </row>
    <row r="80" spans="1:8">
      <c r="A80" s="29"/>
      <c r="B80" s="30"/>
      <c r="C80" s="189"/>
      <c r="D80" s="113"/>
      <c r="E80" s="31"/>
      <c r="F80" s="31"/>
    </row>
    <row r="81" spans="1:6">
      <c r="A81" s="29"/>
      <c r="B81" s="30"/>
      <c r="C81" s="189"/>
      <c r="D81" s="113"/>
      <c r="E81" s="31"/>
      <c r="F81" s="31"/>
    </row>
    <row r="82" spans="1:6">
      <c r="A82" s="29"/>
      <c r="B82" s="30"/>
      <c r="C82" s="189"/>
      <c r="D82" s="113"/>
      <c r="E82" s="31"/>
      <c r="F82" s="31"/>
    </row>
    <row r="83" spans="1:6">
      <c r="A83" s="29"/>
      <c r="B83" s="30"/>
      <c r="C83" s="189"/>
      <c r="D83" s="113"/>
      <c r="E83" s="31"/>
      <c r="F83" s="31"/>
    </row>
    <row r="84" spans="1:6">
      <c r="A84" s="29"/>
      <c r="B84" s="30"/>
      <c r="C84" s="189"/>
      <c r="D84" s="113"/>
      <c r="E84" s="31"/>
      <c r="F84" s="31"/>
    </row>
    <row r="85" spans="1:6">
      <c r="A85" s="29"/>
      <c r="B85" s="30"/>
      <c r="C85" s="189"/>
      <c r="D85" s="113"/>
      <c r="E85" s="31"/>
      <c r="F85" s="31"/>
    </row>
    <row r="86" spans="1:6">
      <c r="A86" s="29"/>
      <c r="B86" s="30"/>
      <c r="C86" s="189"/>
      <c r="D86" s="113"/>
      <c r="E86" s="31"/>
      <c r="F86" s="31"/>
    </row>
    <row r="87" spans="1:6">
      <c r="A87" s="29"/>
      <c r="B87" s="30"/>
      <c r="C87" s="189"/>
      <c r="D87" s="113"/>
      <c r="E87" s="31"/>
      <c r="F87" s="31"/>
    </row>
    <row r="88" spans="1:6">
      <c r="A88" s="29"/>
      <c r="B88" s="30"/>
      <c r="C88" s="189"/>
      <c r="D88" s="113"/>
      <c r="E88" s="31"/>
      <c r="F88" s="31"/>
    </row>
    <row r="89" spans="1:6">
      <c r="A89" s="29"/>
      <c r="B89" s="30"/>
      <c r="C89" s="189"/>
      <c r="D89" s="113"/>
      <c r="E89" s="31"/>
      <c r="F89" s="31"/>
    </row>
    <row r="90" spans="1:6">
      <c r="A90" s="29"/>
      <c r="B90" s="30"/>
      <c r="C90" s="189"/>
      <c r="D90" s="113"/>
      <c r="E90" s="31"/>
      <c r="F90" s="31"/>
    </row>
    <row r="91" spans="1:6">
      <c r="A91" s="29"/>
      <c r="B91" s="30"/>
      <c r="C91" s="189"/>
      <c r="D91" s="113"/>
      <c r="E91" s="31"/>
      <c r="F91" s="31"/>
    </row>
    <row r="92" spans="1:6">
      <c r="A92" s="29"/>
      <c r="B92" s="30"/>
      <c r="C92" s="189"/>
      <c r="D92" s="113"/>
      <c r="E92" s="31"/>
      <c r="F92" s="31"/>
    </row>
    <row r="93" spans="1:6">
      <c r="A93" s="29"/>
      <c r="B93" s="30"/>
      <c r="C93" s="189"/>
      <c r="D93" s="113"/>
      <c r="E93" s="31"/>
      <c r="F93" s="31"/>
    </row>
    <row r="94" spans="1:6">
      <c r="A94" s="29"/>
      <c r="B94" s="30"/>
      <c r="C94" s="189"/>
      <c r="D94" s="113"/>
      <c r="E94" s="31"/>
      <c r="F94" s="31"/>
    </row>
    <row r="95" spans="1:6">
      <c r="A95" s="29"/>
      <c r="B95" s="30"/>
      <c r="C95" s="189"/>
      <c r="D95" s="113"/>
      <c r="E95" s="31"/>
      <c r="F95" s="31"/>
    </row>
    <row r="96" spans="1:6">
      <c r="A96" s="29"/>
      <c r="B96" s="30"/>
      <c r="C96" s="189"/>
      <c r="D96" s="113"/>
      <c r="E96" s="31"/>
      <c r="F96" s="31"/>
    </row>
    <row r="97" spans="1:6">
      <c r="A97" s="29"/>
      <c r="B97" s="30"/>
      <c r="C97" s="189"/>
      <c r="D97" s="113"/>
      <c r="E97" s="31"/>
      <c r="F97" s="31"/>
    </row>
    <row r="98" spans="1:6">
      <c r="A98" s="29"/>
      <c r="B98" s="30"/>
      <c r="C98" s="189"/>
      <c r="D98" s="113"/>
      <c r="E98" s="31"/>
      <c r="F98" s="31"/>
    </row>
    <row r="99" spans="1:6">
      <c r="A99" s="29"/>
      <c r="B99" s="30"/>
      <c r="C99" s="189"/>
      <c r="D99" s="113"/>
      <c r="E99" s="31"/>
      <c r="F99" s="31"/>
    </row>
    <row r="100" spans="1:6">
      <c r="A100" s="29"/>
      <c r="B100" s="30"/>
      <c r="C100" s="189"/>
      <c r="D100" s="113"/>
      <c r="E100" s="31"/>
      <c r="F100" s="31"/>
    </row>
    <row r="101" spans="1:6">
      <c r="A101" s="29"/>
      <c r="B101" s="30"/>
      <c r="C101" s="189"/>
      <c r="D101" s="113"/>
      <c r="E101" s="31"/>
      <c r="F101" s="31"/>
    </row>
    <row r="102" spans="1:6">
      <c r="A102" s="29"/>
      <c r="B102" s="30"/>
      <c r="C102" s="189"/>
      <c r="D102" s="113"/>
      <c r="E102" s="31"/>
      <c r="F102" s="31"/>
    </row>
    <row r="103" spans="1:6">
      <c r="A103" s="29"/>
      <c r="B103" s="30"/>
      <c r="C103" s="189"/>
      <c r="D103" s="113"/>
      <c r="E103" s="31"/>
      <c r="F103" s="31"/>
    </row>
    <row r="104" spans="1:6">
      <c r="A104" s="29"/>
      <c r="B104" s="30"/>
      <c r="C104" s="189"/>
      <c r="D104" s="113"/>
      <c r="E104" s="31"/>
      <c r="F104" s="31"/>
    </row>
    <row r="105" spans="1:6">
      <c r="A105" s="29"/>
      <c r="B105" s="30"/>
      <c r="C105" s="189"/>
      <c r="D105" s="113"/>
      <c r="E105" s="31"/>
      <c r="F105" s="31"/>
    </row>
    <row r="106" spans="1:6">
      <c r="A106" s="29"/>
      <c r="B106" s="30"/>
      <c r="C106" s="189"/>
      <c r="D106" s="113"/>
      <c r="E106" s="31"/>
      <c r="F106" s="31"/>
    </row>
    <row r="107" spans="1:6">
      <c r="A107" s="29"/>
      <c r="B107" s="30"/>
      <c r="C107" s="189"/>
      <c r="D107" s="113"/>
      <c r="E107" s="31"/>
      <c r="F107" s="31"/>
    </row>
    <row r="108" spans="1:6">
      <c r="A108" s="29"/>
      <c r="B108" s="30"/>
      <c r="C108" s="189"/>
      <c r="D108" s="113"/>
      <c r="E108" s="31"/>
      <c r="F108" s="31"/>
    </row>
    <row r="109" spans="1:6">
      <c r="A109" s="29"/>
      <c r="B109" s="30"/>
      <c r="C109" s="189"/>
      <c r="D109" s="113"/>
      <c r="E109" s="31"/>
      <c r="F109" s="31"/>
    </row>
    <row r="110" spans="1:6">
      <c r="A110" s="29"/>
      <c r="B110" s="30"/>
      <c r="C110" s="189"/>
      <c r="D110" s="113"/>
      <c r="E110" s="31"/>
      <c r="F110" s="31"/>
    </row>
    <row r="111" spans="1:6">
      <c r="A111" s="29"/>
      <c r="C111" s="189"/>
      <c r="D111" s="113"/>
      <c r="E111" s="35"/>
      <c r="F111" s="35"/>
    </row>
    <row r="112" spans="1:6">
      <c r="A112" s="36"/>
      <c r="C112" s="189"/>
      <c r="D112" s="113"/>
      <c r="E112" s="35"/>
      <c r="F112" s="35"/>
    </row>
    <row r="113" spans="1:6">
      <c r="A113" s="36"/>
      <c r="C113" s="189"/>
      <c r="D113" s="113"/>
      <c r="E113" s="35"/>
      <c r="F113" s="35"/>
    </row>
    <row r="114" spans="1:6">
      <c r="A114" s="36"/>
      <c r="C114" s="189"/>
      <c r="D114" s="113"/>
      <c r="E114" s="35"/>
      <c r="F114" s="35"/>
    </row>
    <row r="115" spans="1:6">
      <c r="A115" s="36"/>
      <c r="C115" s="189"/>
      <c r="D115" s="113"/>
      <c r="E115" s="35"/>
      <c r="F115" s="35"/>
    </row>
    <row r="116" spans="1:6">
      <c r="A116" s="36"/>
      <c r="C116" s="189"/>
      <c r="D116" s="113"/>
      <c r="E116" s="35"/>
      <c r="F116" s="35"/>
    </row>
    <row r="117" spans="1:6">
      <c r="A117" s="36"/>
      <c r="C117" s="189"/>
      <c r="D117" s="113"/>
      <c r="E117" s="35"/>
      <c r="F117" s="35"/>
    </row>
    <row r="118" spans="1:6">
      <c r="A118" s="36"/>
      <c r="C118" s="189"/>
      <c r="D118" s="113"/>
      <c r="E118" s="35"/>
      <c r="F118" s="35"/>
    </row>
    <row r="119" spans="1:6">
      <c r="A119" s="36"/>
      <c r="C119" s="189"/>
      <c r="D119" s="113"/>
      <c r="E119" s="35"/>
      <c r="F119" s="35"/>
    </row>
    <row r="120" spans="1:6">
      <c r="A120" s="36"/>
      <c r="C120" s="189"/>
      <c r="D120" s="113"/>
      <c r="E120" s="35"/>
      <c r="F120" s="35"/>
    </row>
    <row r="121" spans="1:6">
      <c r="A121" s="36"/>
      <c r="C121" s="189"/>
      <c r="D121" s="113"/>
      <c r="E121" s="35"/>
      <c r="F121" s="35"/>
    </row>
    <row r="122" spans="1:6">
      <c r="A122" s="36"/>
      <c r="C122" s="189"/>
      <c r="D122" s="113"/>
      <c r="E122" s="35"/>
      <c r="F122" s="35"/>
    </row>
    <row r="123" spans="1:6">
      <c r="A123" s="36"/>
      <c r="C123" s="189"/>
      <c r="D123" s="113"/>
      <c r="E123" s="35"/>
      <c r="F123" s="35"/>
    </row>
    <row r="124" spans="1:6">
      <c r="A124" s="36"/>
      <c r="C124" s="189"/>
      <c r="D124" s="113"/>
      <c r="E124" s="35"/>
      <c r="F124" s="35"/>
    </row>
    <row r="125" spans="1:6">
      <c r="A125" s="36"/>
      <c r="C125" s="189"/>
      <c r="D125" s="113"/>
      <c r="E125" s="35"/>
      <c r="F125" s="35"/>
    </row>
    <row r="126" spans="1:6">
      <c r="A126" s="36"/>
      <c r="C126" s="189"/>
      <c r="D126" s="113"/>
      <c r="E126" s="35"/>
      <c r="F126" s="35"/>
    </row>
    <row r="127" spans="1:6">
      <c r="A127" s="36"/>
      <c r="C127" s="189"/>
      <c r="D127" s="113"/>
      <c r="E127" s="35"/>
      <c r="F127" s="35"/>
    </row>
    <row r="128" spans="1:6">
      <c r="A128" s="36"/>
      <c r="C128" s="189"/>
      <c r="D128" s="113"/>
      <c r="E128" s="35"/>
      <c r="F128" s="35"/>
    </row>
    <row r="129" spans="1:6">
      <c r="A129" s="36"/>
      <c r="C129" s="189"/>
      <c r="D129" s="113"/>
      <c r="E129" s="35"/>
      <c r="F129" s="35"/>
    </row>
    <row r="130" spans="1:6">
      <c r="A130" s="36"/>
      <c r="C130" s="189"/>
      <c r="D130" s="113"/>
      <c r="E130" s="35"/>
      <c r="F130" s="35"/>
    </row>
    <row r="131" spans="1:6">
      <c r="A131" s="36"/>
      <c r="C131" s="189"/>
      <c r="D131" s="113"/>
      <c r="E131" s="35"/>
      <c r="F131" s="35"/>
    </row>
    <row r="132" spans="1:6">
      <c r="A132" s="36"/>
      <c r="C132" s="189"/>
      <c r="D132" s="113"/>
      <c r="E132" s="35"/>
      <c r="F132" s="35"/>
    </row>
    <row r="133" spans="1:6">
      <c r="A133" s="36"/>
      <c r="C133" s="189"/>
      <c r="D133" s="113"/>
      <c r="E133" s="35"/>
      <c r="F133" s="35"/>
    </row>
    <row r="134" spans="1:6">
      <c r="A134" s="36"/>
    </row>
    <row r="135" spans="1:6">
      <c r="A135" s="37"/>
    </row>
    <row r="136" spans="1:6">
      <c r="A136" s="37"/>
    </row>
    <row r="137" spans="1:6">
      <c r="A137" s="37"/>
    </row>
    <row r="138" spans="1:6">
      <c r="A138" s="37"/>
    </row>
    <row r="139" spans="1:6">
      <c r="A139" s="37"/>
    </row>
    <row r="140" spans="1:6">
      <c r="A140" s="37"/>
    </row>
    <row r="141" spans="1:6">
      <c r="A141" s="37"/>
    </row>
    <row r="142" spans="1:6">
      <c r="A142" s="37"/>
    </row>
    <row r="143" spans="1:6">
      <c r="A143" s="37"/>
    </row>
    <row r="144" spans="1:6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7"/>
    </row>
    <row r="290" spans="1:1">
      <c r="A290" s="37"/>
    </row>
    <row r="291" spans="1:1">
      <c r="A291" s="37"/>
    </row>
    <row r="292" spans="1:1">
      <c r="A292" s="37"/>
    </row>
    <row r="293" spans="1:1">
      <c r="A293" s="37"/>
    </row>
    <row r="294" spans="1:1">
      <c r="A294" s="37"/>
    </row>
    <row r="295" spans="1:1">
      <c r="A295" s="37"/>
    </row>
    <row r="296" spans="1:1">
      <c r="A296" s="37"/>
    </row>
    <row r="297" spans="1:1">
      <c r="A297" s="37"/>
    </row>
    <row r="298" spans="1:1">
      <c r="A298" s="37"/>
    </row>
    <row r="299" spans="1:1">
      <c r="A299" s="37"/>
    </row>
    <row r="300" spans="1:1">
      <c r="A300" s="37"/>
    </row>
    <row r="301" spans="1:1">
      <c r="A301" s="37"/>
    </row>
  </sheetData>
  <mergeCells count="4">
    <mergeCell ref="C78:D78"/>
    <mergeCell ref="C79:D79"/>
    <mergeCell ref="A1:F1"/>
    <mergeCell ref="E78:G78"/>
  </mergeCells>
  <pageMargins left="0.39370078740157483" right="0.39370078740157483" top="0.78740157480314965" bottom="0.39370078740157483" header="0.19685039370078741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45"/>
  <sheetViews>
    <sheetView tabSelected="1" view="pageBreakPreview" topLeftCell="A10" zoomScale="60" zoomScaleNormal="60" workbookViewId="0">
      <selection activeCell="H27" sqref="H27"/>
    </sheetView>
  </sheetViews>
  <sheetFormatPr defaultRowHeight="20.25"/>
  <cols>
    <col min="1" max="1" width="8.28515625" style="15" customWidth="1"/>
    <col min="2" max="2" width="26.140625" style="15" customWidth="1"/>
    <col min="3" max="3" width="11.28515625" style="15" customWidth="1"/>
    <col min="4" max="4" width="15.28515625" style="15" customWidth="1"/>
    <col min="5" max="5" width="20.42578125" style="15" customWidth="1"/>
    <col min="6" max="6" width="18.42578125" style="15" customWidth="1"/>
    <col min="7" max="7" width="21.5703125" style="15" customWidth="1"/>
    <col min="8" max="8" width="18.42578125" style="15" customWidth="1"/>
    <col min="9" max="9" width="20.140625" style="15" customWidth="1"/>
    <col min="10" max="10" width="18.42578125" style="15" customWidth="1"/>
    <col min="11" max="11" width="18.7109375" style="15" customWidth="1"/>
    <col min="12" max="12" width="19" style="15" customWidth="1"/>
    <col min="13" max="13" width="20.42578125" style="15" customWidth="1"/>
    <col min="14" max="16" width="18.42578125" style="15" customWidth="1"/>
    <col min="17" max="16384" width="9.140625" style="15"/>
  </cols>
  <sheetData>
    <row r="1" spans="1:16">
      <c r="A1" s="49"/>
      <c r="B1" s="49"/>
      <c r="C1" s="49"/>
      <c r="D1" s="49"/>
      <c r="E1" s="49"/>
      <c r="F1" s="49"/>
      <c r="G1" s="49"/>
      <c r="H1" s="49"/>
      <c r="I1" s="50"/>
      <c r="J1" s="50"/>
      <c r="K1" s="51"/>
      <c r="L1" s="51"/>
      <c r="M1" s="51"/>
      <c r="N1" s="51"/>
      <c r="O1" s="51"/>
      <c r="P1" s="50"/>
    </row>
    <row r="2" spans="1:16" s="53" customFormat="1" ht="54.75" customHeight="1">
      <c r="A2" s="52"/>
      <c r="B2" s="52"/>
      <c r="C2" s="52"/>
      <c r="D2" s="264" t="s">
        <v>476</v>
      </c>
      <c r="E2" s="264"/>
      <c r="F2" s="264"/>
      <c r="G2" s="264"/>
      <c r="H2" s="264"/>
      <c r="I2" s="264"/>
      <c r="J2" s="264"/>
      <c r="K2" s="264"/>
      <c r="L2" s="264"/>
      <c r="M2" s="264"/>
      <c r="N2" s="52"/>
      <c r="O2" s="52"/>
      <c r="P2" s="52"/>
    </row>
    <row r="3" spans="1:16">
      <c r="A3" s="54"/>
      <c r="B3" s="54"/>
      <c r="C3" s="54"/>
      <c r="D3" s="54"/>
      <c r="E3" s="55"/>
      <c r="F3" s="55"/>
      <c r="G3" s="55"/>
      <c r="H3" s="55"/>
      <c r="I3" s="55"/>
      <c r="J3" s="55"/>
      <c r="K3" s="51"/>
      <c r="L3" s="51"/>
      <c r="M3" s="51"/>
      <c r="N3" s="51"/>
      <c r="O3" s="51"/>
      <c r="P3" s="50" t="s">
        <v>51</v>
      </c>
    </row>
    <row r="4" spans="1:16" ht="52.5" customHeight="1">
      <c r="A4" s="233" t="s">
        <v>8</v>
      </c>
      <c r="B4" s="233" t="s">
        <v>20</v>
      </c>
      <c r="C4" s="233"/>
      <c r="D4" s="233"/>
      <c r="E4" s="233" t="s">
        <v>133</v>
      </c>
      <c r="F4" s="233"/>
      <c r="G4" s="233" t="s">
        <v>134</v>
      </c>
      <c r="H4" s="233"/>
      <c r="I4" s="233" t="s">
        <v>135</v>
      </c>
      <c r="J4" s="233"/>
      <c r="K4" s="233" t="s">
        <v>136</v>
      </c>
      <c r="L4" s="233"/>
      <c r="M4" s="233" t="s">
        <v>137</v>
      </c>
      <c r="N4" s="233"/>
      <c r="O4" s="233"/>
      <c r="P4" s="233"/>
    </row>
    <row r="5" spans="1:16" ht="111" customHeight="1">
      <c r="A5" s="233"/>
      <c r="B5" s="233"/>
      <c r="C5" s="233"/>
      <c r="D5" s="233"/>
      <c r="E5" s="73" t="s">
        <v>309</v>
      </c>
      <c r="F5" s="73" t="s">
        <v>310</v>
      </c>
      <c r="G5" s="73" t="str">
        <f>E5</f>
        <v>план 
на І півріччя 2022 року</v>
      </c>
      <c r="H5" s="73" t="str">
        <f>F5</f>
        <v>факт 
за І півріччя  2022 року</v>
      </c>
      <c r="I5" s="73" t="str">
        <f>E5</f>
        <v>план 
на І півріччя 2022 року</v>
      </c>
      <c r="J5" s="73" t="str">
        <f>F5</f>
        <v>факт 
за І півріччя  2022 року</v>
      </c>
      <c r="K5" s="73" t="str">
        <f>E5</f>
        <v>план 
на І півріччя 2022 року</v>
      </c>
      <c r="L5" s="73" t="str">
        <f>F5</f>
        <v>факт 
за І півріччя  2022 року</v>
      </c>
      <c r="M5" s="73" t="str">
        <f>E5</f>
        <v>план 
на І півріччя 2022 року</v>
      </c>
      <c r="N5" s="73" t="str">
        <f>F5</f>
        <v>факт 
за І півріччя  2022 року</v>
      </c>
      <c r="O5" s="10" t="s">
        <v>110</v>
      </c>
      <c r="P5" s="10" t="s">
        <v>113</v>
      </c>
    </row>
    <row r="6" spans="1:16" ht="30" customHeight="1">
      <c r="A6" s="10">
        <v>1</v>
      </c>
      <c r="B6" s="233">
        <v>2</v>
      </c>
      <c r="C6" s="233"/>
      <c r="D6" s="233"/>
      <c r="E6" s="10">
        <v>4</v>
      </c>
      <c r="F6" s="10">
        <v>5</v>
      </c>
      <c r="G6" s="10">
        <v>7</v>
      </c>
      <c r="H6" s="10">
        <v>8</v>
      </c>
      <c r="I6" s="10">
        <v>10</v>
      </c>
      <c r="J6" s="10">
        <v>11</v>
      </c>
      <c r="K6" s="7">
        <v>13</v>
      </c>
      <c r="L6" s="7">
        <v>14</v>
      </c>
      <c r="M6" s="7">
        <v>16</v>
      </c>
      <c r="N6" s="7">
        <v>17</v>
      </c>
      <c r="O6" s="7">
        <v>18</v>
      </c>
      <c r="P6" s="7">
        <v>19</v>
      </c>
    </row>
    <row r="7" spans="1:16" ht="48" customHeight="1">
      <c r="A7" s="187" t="s">
        <v>85</v>
      </c>
      <c r="B7" s="265" t="s">
        <v>95</v>
      </c>
      <c r="C7" s="266"/>
      <c r="D7" s="266"/>
      <c r="E7" s="2"/>
      <c r="F7" s="2"/>
      <c r="G7" s="2"/>
      <c r="H7" s="2"/>
      <c r="I7" s="2"/>
      <c r="J7" s="2"/>
      <c r="K7" s="56"/>
      <c r="L7" s="56">
        <f>SUM(L8:L15)</f>
        <v>3496.2000000000003</v>
      </c>
      <c r="M7" s="2">
        <f>E7+G7+I7+K7</f>
        <v>0</v>
      </c>
      <c r="N7" s="2">
        <f>F7+H7+J7+L7</f>
        <v>3496.2000000000003</v>
      </c>
      <c r="O7" s="2">
        <f>N7-M7</f>
        <v>3496.2000000000003</v>
      </c>
      <c r="P7" s="195" t="e">
        <f>(N7/M7)*100</f>
        <v>#DIV/0!</v>
      </c>
    </row>
    <row r="8" spans="1:16" ht="42" customHeight="1">
      <c r="A8" s="187"/>
      <c r="B8" s="269" t="s">
        <v>359</v>
      </c>
      <c r="C8" s="270"/>
      <c r="D8" s="271"/>
      <c r="E8" s="2"/>
      <c r="F8" s="2"/>
      <c r="G8" s="2"/>
      <c r="H8" s="2"/>
      <c r="I8" s="2"/>
      <c r="J8" s="2"/>
      <c r="K8" s="56"/>
      <c r="L8" s="57">
        <v>103.9</v>
      </c>
      <c r="M8" s="2"/>
      <c r="N8" s="8">
        <f>F8+H8+J8+L8</f>
        <v>103.9</v>
      </c>
      <c r="O8" s="2">
        <f t="shared" ref="O8:O10" si="0">N8-M8</f>
        <v>103.9</v>
      </c>
      <c r="P8" s="195" t="e">
        <f t="shared" ref="P8:P10" si="1">(N8/M8)*100</f>
        <v>#DIV/0!</v>
      </c>
    </row>
    <row r="9" spans="1:16" ht="43.5" customHeight="1">
      <c r="A9" s="187"/>
      <c r="B9" s="269" t="s">
        <v>360</v>
      </c>
      <c r="C9" s="270"/>
      <c r="D9" s="271"/>
      <c r="E9" s="2"/>
      <c r="F9" s="2"/>
      <c r="G9" s="2"/>
      <c r="H9" s="2"/>
      <c r="I9" s="2"/>
      <c r="J9" s="2"/>
      <c r="K9" s="56"/>
      <c r="L9" s="57">
        <v>158.6</v>
      </c>
      <c r="M9" s="2"/>
      <c r="N9" s="8">
        <f>F9+H9+J9+L9</f>
        <v>158.6</v>
      </c>
      <c r="O9" s="2">
        <f t="shared" si="0"/>
        <v>158.6</v>
      </c>
      <c r="P9" s="195" t="e">
        <f t="shared" si="1"/>
        <v>#DIV/0!</v>
      </c>
    </row>
    <row r="10" spans="1:16" ht="30" customHeight="1">
      <c r="A10" s="187"/>
      <c r="B10" s="269" t="s">
        <v>361</v>
      </c>
      <c r="C10" s="270"/>
      <c r="D10" s="271"/>
      <c r="E10" s="2"/>
      <c r="F10" s="2"/>
      <c r="G10" s="2"/>
      <c r="H10" s="2"/>
      <c r="I10" s="2"/>
      <c r="J10" s="2"/>
      <c r="K10" s="56"/>
      <c r="L10" s="57">
        <v>50.4</v>
      </c>
      <c r="M10" s="2"/>
      <c r="N10" s="8">
        <f>F10+H10+J10+L10</f>
        <v>50.4</v>
      </c>
      <c r="O10" s="2">
        <f t="shared" si="0"/>
        <v>50.4</v>
      </c>
      <c r="P10" s="195" t="e">
        <f t="shared" si="1"/>
        <v>#DIV/0!</v>
      </c>
    </row>
    <row r="11" spans="1:16" ht="30" customHeight="1">
      <c r="A11" s="187"/>
      <c r="B11" s="267" t="s">
        <v>233</v>
      </c>
      <c r="C11" s="268"/>
      <c r="D11" s="268"/>
      <c r="E11" s="8"/>
      <c r="F11" s="8"/>
      <c r="G11" s="8"/>
      <c r="H11" s="8"/>
      <c r="I11" s="8"/>
      <c r="J11" s="8"/>
      <c r="K11" s="57"/>
      <c r="L11" s="57">
        <v>162.5</v>
      </c>
      <c r="M11" s="2">
        <f>E11+G11+I11+K11</f>
        <v>0</v>
      </c>
      <c r="N11" s="2">
        <f t="shared" ref="N11:N28" si="2">F11+H11+J11+L11</f>
        <v>162.5</v>
      </c>
      <c r="O11" s="2">
        <f>N11-M11</f>
        <v>162.5</v>
      </c>
      <c r="P11" s="194" t="e">
        <f>(N11/M11)*100</f>
        <v>#DIV/0!</v>
      </c>
    </row>
    <row r="12" spans="1:16" ht="46.5" customHeight="1">
      <c r="A12" s="187"/>
      <c r="B12" s="272" t="s">
        <v>376</v>
      </c>
      <c r="C12" s="273"/>
      <c r="D12" s="274"/>
      <c r="E12" s="8"/>
      <c r="F12" s="8"/>
      <c r="G12" s="8"/>
      <c r="H12" s="8"/>
      <c r="I12" s="8"/>
      <c r="J12" s="8"/>
      <c r="K12" s="57"/>
      <c r="L12" s="57">
        <v>2022.6</v>
      </c>
      <c r="M12" s="2"/>
      <c r="N12" s="2">
        <f t="shared" si="2"/>
        <v>2022.6</v>
      </c>
      <c r="O12" s="2">
        <f t="shared" ref="O12:O15" si="3">N12-M12</f>
        <v>2022.6</v>
      </c>
      <c r="P12" s="194" t="e">
        <f t="shared" ref="P12:P15" si="4">(N12/M12)*100</f>
        <v>#DIV/0!</v>
      </c>
    </row>
    <row r="13" spans="1:16" ht="51" customHeight="1">
      <c r="A13" s="187"/>
      <c r="B13" s="272" t="s">
        <v>378</v>
      </c>
      <c r="C13" s="273"/>
      <c r="D13" s="274"/>
      <c r="E13" s="8"/>
      <c r="F13" s="8"/>
      <c r="G13" s="8"/>
      <c r="H13" s="8"/>
      <c r="I13" s="8"/>
      <c r="J13" s="8"/>
      <c r="K13" s="57"/>
      <c r="L13" s="57">
        <v>455.4</v>
      </c>
      <c r="M13" s="2"/>
      <c r="N13" s="2">
        <f t="shared" si="2"/>
        <v>455.4</v>
      </c>
      <c r="O13" s="2">
        <f t="shared" si="3"/>
        <v>455.4</v>
      </c>
      <c r="P13" s="194" t="e">
        <f t="shared" si="4"/>
        <v>#DIV/0!</v>
      </c>
    </row>
    <row r="14" spans="1:16" ht="30" customHeight="1">
      <c r="A14" s="187"/>
      <c r="B14" s="275" t="s">
        <v>379</v>
      </c>
      <c r="C14" s="276"/>
      <c r="D14" s="277"/>
      <c r="E14" s="8"/>
      <c r="F14" s="8"/>
      <c r="G14" s="8"/>
      <c r="H14" s="8"/>
      <c r="I14" s="8"/>
      <c r="J14" s="8"/>
      <c r="K14" s="57"/>
      <c r="L14" s="57">
        <v>235.3</v>
      </c>
      <c r="M14" s="2"/>
      <c r="N14" s="2">
        <f t="shared" si="2"/>
        <v>235.3</v>
      </c>
      <c r="O14" s="2">
        <f t="shared" si="3"/>
        <v>235.3</v>
      </c>
      <c r="P14" s="194" t="e">
        <f t="shared" si="4"/>
        <v>#DIV/0!</v>
      </c>
    </row>
    <row r="15" spans="1:16" ht="45" customHeight="1">
      <c r="A15" s="187"/>
      <c r="B15" s="272" t="s">
        <v>380</v>
      </c>
      <c r="C15" s="273"/>
      <c r="D15" s="274"/>
      <c r="E15" s="8"/>
      <c r="F15" s="8"/>
      <c r="G15" s="8"/>
      <c r="H15" s="8"/>
      <c r="I15" s="8"/>
      <c r="J15" s="8"/>
      <c r="K15" s="57"/>
      <c r="L15" s="57">
        <v>307.5</v>
      </c>
      <c r="M15" s="2"/>
      <c r="N15" s="2">
        <f t="shared" si="2"/>
        <v>307.5</v>
      </c>
      <c r="O15" s="2">
        <f t="shared" si="3"/>
        <v>307.5</v>
      </c>
      <c r="P15" s="194" t="e">
        <f t="shared" si="4"/>
        <v>#DIV/0!</v>
      </c>
    </row>
    <row r="16" spans="1:16" ht="79.5" customHeight="1">
      <c r="A16" s="187" t="s">
        <v>94</v>
      </c>
      <c r="B16" s="265" t="s">
        <v>96</v>
      </c>
      <c r="C16" s="266"/>
      <c r="D16" s="266"/>
      <c r="E16" s="2"/>
      <c r="F16" s="2"/>
      <c r="G16" s="2"/>
      <c r="H16" s="2"/>
      <c r="I16" s="2"/>
      <c r="J16" s="2"/>
      <c r="K16" s="56"/>
      <c r="L16" s="56">
        <f>SUM(L17:L25)</f>
        <v>145.1</v>
      </c>
      <c r="M16" s="2">
        <f>E16+G16+I16+K16</f>
        <v>0</v>
      </c>
      <c r="N16" s="2">
        <f t="shared" si="2"/>
        <v>145.1</v>
      </c>
      <c r="O16" s="2">
        <f>N16-M16</f>
        <v>145.1</v>
      </c>
      <c r="P16" s="195" t="e">
        <f>(N16/M16)*100</f>
        <v>#DIV/0!</v>
      </c>
    </row>
    <row r="17" spans="1:16" ht="28.5" customHeight="1">
      <c r="A17" s="187"/>
      <c r="B17" s="267" t="s">
        <v>368</v>
      </c>
      <c r="C17" s="268"/>
      <c r="D17" s="281"/>
      <c r="E17" s="2"/>
      <c r="F17" s="2"/>
      <c r="G17" s="2"/>
      <c r="H17" s="2"/>
      <c r="I17" s="2"/>
      <c r="J17" s="2"/>
      <c r="K17" s="56"/>
      <c r="L17" s="57">
        <v>22</v>
      </c>
      <c r="M17" s="2"/>
      <c r="N17" s="8">
        <f t="shared" si="2"/>
        <v>22</v>
      </c>
      <c r="O17" s="2">
        <f t="shared" ref="O17:O20" si="5">N17-M17</f>
        <v>22</v>
      </c>
      <c r="P17" s="195" t="e">
        <f t="shared" ref="P17:P20" si="6">(N17/M17)*100</f>
        <v>#DIV/0!</v>
      </c>
    </row>
    <row r="18" spans="1:16" ht="30" customHeight="1">
      <c r="A18" s="187"/>
      <c r="B18" s="278" t="s">
        <v>362</v>
      </c>
      <c r="C18" s="279"/>
      <c r="D18" s="280"/>
      <c r="E18" s="2"/>
      <c r="F18" s="2"/>
      <c r="G18" s="2"/>
      <c r="H18" s="2"/>
      <c r="I18" s="2"/>
      <c r="J18" s="2"/>
      <c r="K18" s="56"/>
      <c r="L18" s="57">
        <v>14.6</v>
      </c>
      <c r="M18" s="2"/>
      <c r="N18" s="8">
        <f t="shared" si="2"/>
        <v>14.6</v>
      </c>
      <c r="O18" s="2">
        <f t="shared" si="5"/>
        <v>14.6</v>
      </c>
      <c r="P18" s="195" t="e">
        <f t="shared" si="6"/>
        <v>#DIV/0!</v>
      </c>
    </row>
    <row r="19" spans="1:16" ht="30" customHeight="1">
      <c r="A19" s="187"/>
      <c r="B19" s="278" t="s">
        <v>363</v>
      </c>
      <c r="C19" s="279"/>
      <c r="D19" s="280"/>
      <c r="E19" s="2"/>
      <c r="F19" s="2"/>
      <c r="G19" s="2"/>
      <c r="H19" s="2"/>
      <c r="I19" s="2"/>
      <c r="J19" s="2"/>
      <c r="K19" s="56"/>
      <c r="L19" s="57">
        <v>34</v>
      </c>
      <c r="M19" s="2"/>
      <c r="N19" s="8">
        <f t="shared" si="2"/>
        <v>34</v>
      </c>
      <c r="O19" s="2">
        <f t="shared" si="5"/>
        <v>34</v>
      </c>
      <c r="P19" s="195" t="e">
        <f t="shared" si="6"/>
        <v>#DIV/0!</v>
      </c>
    </row>
    <row r="20" spans="1:16" ht="46.5" customHeight="1">
      <c r="A20" s="187"/>
      <c r="B20" s="269" t="s">
        <v>364</v>
      </c>
      <c r="C20" s="270"/>
      <c r="D20" s="271"/>
      <c r="E20" s="2"/>
      <c r="F20" s="2"/>
      <c r="G20" s="2"/>
      <c r="H20" s="2"/>
      <c r="I20" s="2"/>
      <c r="J20" s="2"/>
      <c r="K20" s="56"/>
      <c r="L20" s="57">
        <v>2.8</v>
      </c>
      <c r="M20" s="2"/>
      <c r="N20" s="8">
        <f t="shared" si="2"/>
        <v>2.8</v>
      </c>
      <c r="O20" s="2">
        <f t="shared" si="5"/>
        <v>2.8</v>
      </c>
      <c r="P20" s="195" t="e">
        <f t="shared" si="6"/>
        <v>#DIV/0!</v>
      </c>
    </row>
    <row r="21" spans="1:16" ht="43.5" customHeight="1">
      <c r="A21" s="187"/>
      <c r="B21" s="269" t="s">
        <v>365</v>
      </c>
      <c r="C21" s="270"/>
      <c r="D21" s="271"/>
      <c r="E21" s="8"/>
      <c r="F21" s="8"/>
      <c r="G21" s="8"/>
      <c r="H21" s="8"/>
      <c r="I21" s="8"/>
      <c r="J21" s="8"/>
      <c r="K21" s="57"/>
      <c r="L21" s="57">
        <v>15.3</v>
      </c>
      <c r="M21" s="2">
        <f>E21+G21+I21+K21</f>
        <v>0</v>
      </c>
      <c r="N21" s="8">
        <f t="shared" si="2"/>
        <v>15.3</v>
      </c>
      <c r="O21" s="2">
        <f>N21-M21</f>
        <v>15.3</v>
      </c>
      <c r="P21" s="194" t="e">
        <f>(N21/M21)*100</f>
        <v>#DIV/0!</v>
      </c>
    </row>
    <row r="22" spans="1:16" ht="42" customHeight="1">
      <c r="A22" s="187"/>
      <c r="B22" s="272" t="s">
        <v>372</v>
      </c>
      <c r="C22" s="273"/>
      <c r="D22" s="274"/>
      <c r="E22" s="8"/>
      <c r="F22" s="8"/>
      <c r="G22" s="8"/>
      <c r="H22" s="8"/>
      <c r="I22" s="8"/>
      <c r="J22" s="8"/>
      <c r="K22" s="57"/>
      <c r="L22" s="57">
        <v>2.7</v>
      </c>
      <c r="M22" s="2"/>
      <c r="N22" s="8"/>
      <c r="O22" s="2">
        <f t="shared" ref="O22:O25" si="7">N22-M22</f>
        <v>0</v>
      </c>
      <c r="P22" s="194" t="e">
        <f t="shared" ref="P22:P25" si="8">(N22/M22)*100</f>
        <v>#DIV/0!</v>
      </c>
    </row>
    <row r="23" spans="1:16" ht="43.5" customHeight="1">
      <c r="A23" s="187"/>
      <c r="B23" s="272" t="s">
        <v>373</v>
      </c>
      <c r="C23" s="273"/>
      <c r="D23" s="274"/>
      <c r="E23" s="8"/>
      <c r="F23" s="8"/>
      <c r="G23" s="8"/>
      <c r="H23" s="8"/>
      <c r="I23" s="8"/>
      <c r="J23" s="8"/>
      <c r="K23" s="57"/>
      <c r="L23" s="57">
        <v>14.2</v>
      </c>
      <c r="M23" s="2"/>
      <c r="N23" s="8"/>
      <c r="O23" s="2">
        <f t="shared" si="7"/>
        <v>0</v>
      </c>
      <c r="P23" s="194" t="e">
        <f t="shared" si="8"/>
        <v>#DIV/0!</v>
      </c>
    </row>
    <row r="24" spans="1:16" ht="31.5" customHeight="1">
      <c r="A24" s="187"/>
      <c r="B24" s="272" t="s">
        <v>374</v>
      </c>
      <c r="C24" s="273"/>
      <c r="D24" s="274"/>
      <c r="E24" s="8"/>
      <c r="F24" s="8"/>
      <c r="G24" s="8"/>
      <c r="H24" s="8"/>
      <c r="I24" s="8"/>
      <c r="J24" s="8"/>
      <c r="K24" s="57"/>
      <c r="L24" s="57">
        <v>19.600000000000001</v>
      </c>
      <c r="M24" s="2"/>
      <c r="N24" s="8"/>
      <c r="O24" s="2">
        <f t="shared" si="7"/>
        <v>0</v>
      </c>
      <c r="P24" s="194" t="e">
        <f t="shared" si="8"/>
        <v>#DIV/0!</v>
      </c>
    </row>
    <row r="25" spans="1:16" ht="28.5" customHeight="1">
      <c r="A25" s="187"/>
      <c r="B25" s="272" t="s">
        <v>375</v>
      </c>
      <c r="C25" s="273"/>
      <c r="D25" s="274"/>
      <c r="E25" s="8"/>
      <c r="F25" s="8"/>
      <c r="G25" s="8"/>
      <c r="H25" s="8"/>
      <c r="I25" s="8"/>
      <c r="J25" s="8"/>
      <c r="K25" s="57"/>
      <c r="L25" s="57">
        <v>19.899999999999999</v>
      </c>
      <c r="M25" s="2"/>
      <c r="N25" s="8"/>
      <c r="O25" s="2">
        <f t="shared" si="7"/>
        <v>0</v>
      </c>
      <c r="P25" s="194" t="e">
        <f t="shared" si="8"/>
        <v>#DIV/0!</v>
      </c>
    </row>
    <row r="26" spans="1:16" ht="46.5" customHeight="1">
      <c r="A26" s="187" t="s">
        <v>105</v>
      </c>
      <c r="B26" s="265" t="s">
        <v>97</v>
      </c>
      <c r="C26" s="266"/>
      <c r="D26" s="266"/>
      <c r="E26" s="2"/>
      <c r="F26" s="2"/>
      <c r="G26" s="2"/>
      <c r="H26" s="2">
        <f>H27</f>
        <v>299.89999999999998</v>
      </c>
      <c r="I26" s="2"/>
      <c r="J26" s="2">
        <f>J27</f>
        <v>5</v>
      </c>
      <c r="K26" s="56"/>
      <c r="L26" s="56"/>
      <c r="M26" s="2">
        <f>E26+G26+I26+K26</f>
        <v>0</v>
      </c>
      <c r="N26" s="2">
        <f t="shared" si="2"/>
        <v>304.89999999999998</v>
      </c>
      <c r="O26" s="2">
        <f>N26-M26</f>
        <v>304.89999999999998</v>
      </c>
      <c r="P26" s="195" t="e">
        <f>(N26/M26)*100</f>
        <v>#DIV/0!</v>
      </c>
    </row>
    <row r="27" spans="1:16" ht="141" customHeight="1">
      <c r="A27" s="187"/>
      <c r="B27" s="267" t="s">
        <v>234</v>
      </c>
      <c r="C27" s="268"/>
      <c r="D27" s="281"/>
      <c r="E27" s="8"/>
      <c r="F27" s="8"/>
      <c r="G27" s="8"/>
      <c r="H27" s="8">
        <v>299.89999999999998</v>
      </c>
      <c r="I27" s="8"/>
      <c r="J27" s="8">
        <f>304.9-299.9</f>
        <v>5</v>
      </c>
      <c r="K27" s="57"/>
      <c r="L27" s="57"/>
      <c r="M27" s="2">
        <f>E27+G27+I27+K27</f>
        <v>0</v>
      </c>
      <c r="N27" s="8">
        <f t="shared" si="2"/>
        <v>304.89999999999998</v>
      </c>
      <c r="O27" s="2">
        <f>N27-M27</f>
        <v>304.89999999999998</v>
      </c>
      <c r="P27" s="194" t="e">
        <f>(N27/M27)*100</f>
        <v>#DIV/0!</v>
      </c>
    </row>
    <row r="28" spans="1:16" ht="40.5" customHeight="1">
      <c r="A28" s="282" t="s">
        <v>9</v>
      </c>
      <c r="B28" s="283"/>
      <c r="C28" s="283"/>
      <c r="D28" s="283"/>
      <c r="E28" s="2">
        <f t="shared" ref="E28:L28" si="9">E7+E16+E26</f>
        <v>0</v>
      </c>
      <c r="F28" s="2">
        <f t="shared" si="9"/>
        <v>0</v>
      </c>
      <c r="G28" s="2">
        <f t="shared" si="9"/>
        <v>0</v>
      </c>
      <c r="H28" s="2">
        <f t="shared" si="9"/>
        <v>299.89999999999998</v>
      </c>
      <c r="I28" s="2">
        <f t="shared" si="9"/>
        <v>0</v>
      </c>
      <c r="J28" s="2">
        <f t="shared" si="9"/>
        <v>5</v>
      </c>
      <c r="K28" s="2">
        <f t="shared" si="9"/>
        <v>0</v>
      </c>
      <c r="L28" s="2">
        <f t="shared" si="9"/>
        <v>3641.3</v>
      </c>
      <c r="M28" s="2">
        <f>E28+G28+I28+K28</f>
        <v>0</v>
      </c>
      <c r="N28" s="2">
        <f t="shared" si="2"/>
        <v>3946.2000000000003</v>
      </c>
      <c r="O28" s="2">
        <f>N28-M28</f>
        <v>3946.2000000000003</v>
      </c>
      <c r="P28" s="2"/>
    </row>
    <row r="29" spans="1:16" ht="20.100000000000001" customHeight="1">
      <c r="A29" s="58"/>
      <c r="B29" s="58"/>
      <c r="C29" s="59"/>
      <c r="D29" s="59"/>
      <c r="E29" s="59"/>
      <c r="F29" s="59"/>
      <c r="G29" s="59"/>
      <c r="H29" s="59"/>
      <c r="I29" s="59"/>
      <c r="J29" s="59"/>
      <c r="K29" s="51"/>
      <c r="L29" s="51"/>
      <c r="M29" s="51"/>
      <c r="N29" s="51"/>
      <c r="O29" s="51"/>
      <c r="P29" s="51"/>
    </row>
    <row r="30" spans="1:16" s="4" customFormat="1" ht="20.100000000000001" customHeight="1">
      <c r="A30" s="60"/>
      <c r="B30" s="60"/>
      <c r="C30" s="52"/>
      <c r="D30" s="52"/>
      <c r="E30" s="52"/>
      <c r="F30" s="52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6" s="64" customFormat="1" ht="31.5" customHeight="1">
      <c r="A31" s="61"/>
      <c r="B31" s="259" t="s">
        <v>402</v>
      </c>
      <c r="C31" s="260"/>
      <c r="D31" s="260"/>
      <c r="E31" s="62"/>
      <c r="F31" s="62"/>
      <c r="G31" s="261"/>
      <c r="H31" s="261"/>
      <c r="I31" s="261"/>
      <c r="J31" s="63"/>
      <c r="K31" s="262" t="s">
        <v>213</v>
      </c>
      <c r="L31" s="262"/>
      <c r="M31" s="262"/>
      <c r="N31" s="61"/>
      <c r="O31" s="61"/>
      <c r="P31" s="61"/>
    </row>
    <row r="32" spans="1:16" s="4" customFormat="1" ht="19.5" customHeight="1">
      <c r="A32" s="60"/>
      <c r="B32" s="263" t="s">
        <v>10</v>
      </c>
      <c r="C32" s="263"/>
      <c r="D32" s="263"/>
      <c r="E32" s="65"/>
      <c r="F32" s="65"/>
      <c r="G32" s="71"/>
      <c r="H32" s="72" t="s">
        <v>11</v>
      </c>
      <c r="I32" s="71"/>
      <c r="J32" s="65"/>
      <c r="K32" s="263" t="s">
        <v>17</v>
      </c>
      <c r="L32" s="263"/>
      <c r="M32" s="263"/>
      <c r="N32" s="60"/>
      <c r="O32" s="60"/>
      <c r="P32" s="60"/>
    </row>
    <row r="33" spans="1:16" ht="20.100000000000001" customHeight="1">
      <c r="A33" s="51"/>
      <c r="B33" s="66"/>
      <c r="C33" s="66"/>
      <c r="D33" s="66"/>
      <c r="E33" s="67"/>
      <c r="F33" s="67"/>
      <c r="G33" s="67"/>
      <c r="H33" s="67"/>
      <c r="I33" s="67"/>
      <c r="J33" s="67"/>
      <c r="K33" s="51"/>
      <c r="L33" s="51"/>
      <c r="M33" s="51"/>
      <c r="N33" s="51"/>
      <c r="O33" s="51"/>
      <c r="P33" s="51"/>
    </row>
    <row r="34" spans="1:16" ht="20.100000000000001" customHeight="1">
      <c r="A34" s="51"/>
      <c r="B34" s="66"/>
      <c r="C34" s="66"/>
      <c r="D34" s="66"/>
      <c r="E34" s="66"/>
      <c r="F34" s="66"/>
      <c r="G34" s="66"/>
      <c r="H34" s="66"/>
      <c r="I34" s="66"/>
      <c r="J34" s="66"/>
      <c r="K34" s="51"/>
      <c r="L34" s="51"/>
      <c r="M34" s="51"/>
      <c r="N34" s="51"/>
      <c r="O34" s="51"/>
      <c r="P34" s="51"/>
    </row>
    <row r="35" spans="1:16">
      <c r="A35" s="51"/>
      <c r="B35" s="66"/>
      <c r="C35" s="66"/>
      <c r="D35" s="66"/>
      <c r="E35" s="66"/>
      <c r="F35" s="66"/>
      <c r="G35" s="66"/>
      <c r="H35" s="66"/>
      <c r="I35" s="66"/>
      <c r="J35" s="66"/>
      <c r="K35" s="51"/>
      <c r="L35" s="51"/>
      <c r="M35" s="51"/>
      <c r="N35" s="51"/>
      <c r="O35" s="51"/>
      <c r="P35" s="51"/>
    </row>
    <row r="36" spans="1:16" s="258" customFormat="1" ht="19.149999999999999" customHeight="1">
      <c r="A36" s="257" t="s">
        <v>52</v>
      </c>
    </row>
    <row r="39" spans="1:16">
      <c r="B39" s="68"/>
    </row>
    <row r="40" spans="1:16">
      <c r="B40" s="68"/>
    </row>
    <row r="41" spans="1:16">
      <c r="B41" s="68"/>
    </row>
    <row r="42" spans="1:16">
      <c r="B42" s="68"/>
    </row>
    <row r="43" spans="1:16">
      <c r="B43" s="68"/>
    </row>
    <row r="44" spans="1:16">
      <c r="B44" s="68"/>
    </row>
    <row r="45" spans="1:16">
      <c r="B45" s="68"/>
    </row>
  </sheetData>
  <mergeCells count="37">
    <mergeCell ref="B19:D19"/>
    <mergeCell ref="B20:D20"/>
    <mergeCell ref="B17:D17"/>
    <mergeCell ref="B26:D26"/>
    <mergeCell ref="A28:D28"/>
    <mergeCell ref="B27:D27"/>
    <mergeCell ref="B21:D21"/>
    <mergeCell ref="B18:D18"/>
    <mergeCell ref="B22:D22"/>
    <mergeCell ref="B23:D23"/>
    <mergeCell ref="B24:D24"/>
    <mergeCell ref="B25:D25"/>
    <mergeCell ref="A4:A5"/>
    <mergeCell ref="B7:D7"/>
    <mergeCell ref="B11:D11"/>
    <mergeCell ref="B16:D16"/>
    <mergeCell ref="B10:D10"/>
    <mergeCell ref="B9:D9"/>
    <mergeCell ref="B8:D8"/>
    <mergeCell ref="B12:D12"/>
    <mergeCell ref="B13:D13"/>
    <mergeCell ref="B14:D14"/>
    <mergeCell ref="B15:D15"/>
    <mergeCell ref="D2:M2"/>
    <mergeCell ref="M4:P4"/>
    <mergeCell ref="G4:H4"/>
    <mergeCell ref="B6:D6"/>
    <mergeCell ref="K4:L4"/>
    <mergeCell ref="I4:J4"/>
    <mergeCell ref="B4:D5"/>
    <mergeCell ref="E4:F4"/>
    <mergeCell ref="A36:XFD36"/>
    <mergeCell ref="B31:D31"/>
    <mergeCell ref="G31:I31"/>
    <mergeCell ref="K31:M31"/>
    <mergeCell ref="K32:M32"/>
    <mergeCell ref="B32:D32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48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2022-10-20T09:33:27Z</cp:lastPrinted>
  <dcterms:created xsi:type="dcterms:W3CDTF">2003-03-13T16:00:22Z</dcterms:created>
  <dcterms:modified xsi:type="dcterms:W3CDTF">2022-10-20T09:38:30Z</dcterms:modified>
</cp:coreProperties>
</file>